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heckCompatibility="1" defaultThemeVersion="124226"/>
  <xr:revisionPtr revIDLastSave="0" documentId="8_{BD52A482-2C78-4B5D-B385-5442D88BD2C6}" xr6:coauthVersionLast="47" xr6:coauthVersionMax="47" xr10:uidLastSave="{00000000-0000-0000-0000-000000000000}"/>
  <bookViews>
    <workbookView xWindow="-110" yWindow="-110" windowWidth="19420" windowHeight="10420" tabRatio="907" firstSheet="1" activeTab="2" xr2:uid="{00000000-000D-0000-FFFF-FFFF00000000}"/>
  </bookViews>
  <sheets>
    <sheet name="รายละเอียด" sheetId="1" state="hidden" r:id="rId1"/>
    <sheet name="สรุปแผน502_1" sheetId="59" r:id="rId2"/>
    <sheet name="ใบขวาง 502_2" sheetId="19" r:id="rId3"/>
    <sheet name="แบบ ก.12-ชุดกรรมาธิการ502_3" sheetId="174" state="hidden" r:id="rId4"/>
    <sheet name="ชุดอนุ-แบบ1 502_4" sheetId="176" state="hidden" r:id="rId5"/>
    <sheet name="ขุดอนุฯ-แบบ2=ก12แทรคอลัมภ์A" sheetId="175" state="hidden" r:id="rId6"/>
    <sheet name="สรุปตปท" sheetId="177" state="hidden" r:id="rId7"/>
    <sheet name="ตปท" sheetId="178" state="hidden" r:id="rId8"/>
  </sheets>
  <definedNames>
    <definedName name="_xlnm._FilterDatabase" localSheetId="7" hidden="1">ตปท!$B$1:$P$7</definedName>
    <definedName name="_xlnm.Print_Area" localSheetId="7">ตปท!$A$1:$P$31</definedName>
    <definedName name="_xlnm.Print_Area" localSheetId="3">'แบบ ก.12-ชุดกรรมาธิการ502_3'!$A$1:$M$444</definedName>
    <definedName name="_xlnm.Print_Area" localSheetId="2">'ใบขวาง 502_2'!$A$1:$M$20</definedName>
    <definedName name="_xlnm.Print_Area" localSheetId="6">สรุปตปท!$A$1:$J$20</definedName>
    <definedName name="_xlnm.Print_Titles" localSheetId="7">ตปท!$4:$6</definedName>
    <definedName name="_xlnm.Print_Titles" localSheetId="3">'แบบ ก.12-ชุดกรรมาธิการ502_3'!$1:$6</definedName>
    <definedName name="_xlnm.Print_Titles" localSheetId="0">รายละเอียด!$4:$6</definedName>
    <definedName name="_xlnm.Print_Titles" localSheetId="1">สรุปแผน502_1!$2:$2</definedName>
    <definedName name="Z_9105983F_36C1_414A_A513_AD2D2FF9963C_.wvu.PrintArea" localSheetId="7" hidden="1">ตปท!$B$1:$P$20</definedName>
    <definedName name="Z_9105983F_36C1_414A_A513_AD2D2FF9963C_.wvu.PrintTitles" localSheetId="7" hidden="1">ตปท!$4:$6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177" l="1"/>
  <c r="S8" i="177"/>
  <c r="I7" i="177"/>
  <c r="I6" i="177"/>
  <c r="I5" i="177"/>
  <c r="I4" i="177"/>
  <c r="F4" i="177"/>
  <c r="C4" i="177"/>
  <c r="K443" i="175"/>
  <c r="J443" i="175"/>
  <c r="K442" i="175"/>
  <c r="K441" i="175"/>
  <c r="K440" i="175"/>
  <c r="K439" i="175"/>
  <c r="K438" i="175"/>
  <c r="K437" i="175"/>
  <c r="K436" i="175"/>
  <c r="M435" i="175"/>
  <c r="L435" i="175"/>
  <c r="K435" i="175"/>
  <c r="K434" i="175"/>
  <c r="J434" i="175"/>
  <c r="K433" i="175"/>
  <c r="K432" i="175"/>
  <c r="K431" i="175"/>
  <c r="K430" i="175"/>
  <c r="K429" i="175"/>
  <c r="K428" i="175"/>
  <c r="K427" i="175"/>
  <c r="K426" i="175"/>
  <c r="K425" i="175"/>
  <c r="M424" i="175"/>
  <c r="L424" i="175"/>
  <c r="K424" i="175"/>
  <c r="K423" i="175"/>
  <c r="J423" i="175"/>
  <c r="K422" i="175"/>
  <c r="K421" i="175"/>
  <c r="K419" i="175"/>
  <c r="K418" i="175"/>
  <c r="K417" i="175"/>
  <c r="K416" i="175"/>
  <c r="K415" i="175"/>
  <c r="M414" i="175"/>
  <c r="L414" i="175"/>
  <c r="K414" i="175"/>
  <c r="K413" i="175"/>
  <c r="J413" i="175"/>
  <c r="K412" i="175"/>
  <c r="K411" i="175"/>
  <c r="K410" i="175"/>
  <c r="K409" i="175"/>
  <c r="K408" i="175"/>
  <c r="K407" i="175"/>
  <c r="K406" i="175"/>
  <c r="K405" i="175"/>
  <c r="M404" i="175"/>
  <c r="L404" i="175"/>
  <c r="K404" i="175"/>
  <c r="K403" i="175"/>
  <c r="J403" i="175"/>
  <c r="K402" i="175"/>
  <c r="K401" i="175"/>
  <c r="K400" i="175"/>
  <c r="K399" i="175"/>
  <c r="K398" i="175"/>
  <c r="K397" i="175"/>
  <c r="K396" i="175"/>
  <c r="K395" i="175"/>
  <c r="M394" i="175"/>
  <c r="L394" i="175"/>
  <c r="K394" i="175"/>
  <c r="K393" i="175"/>
  <c r="K392" i="175"/>
  <c r="K391" i="175"/>
  <c r="K390" i="175"/>
  <c r="K389" i="175"/>
  <c r="K388" i="175"/>
  <c r="K387" i="175"/>
  <c r="K386" i="175"/>
  <c r="K385" i="175"/>
  <c r="M384" i="175"/>
  <c r="L384" i="175"/>
  <c r="K384" i="175"/>
  <c r="K383" i="175"/>
  <c r="J383" i="175"/>
  <c r="K382" i="175"/>
  <c r="K381" i="175"/>
  <c r="K380" i="175"/>
  <c r="K379" i="175"/>
  <c r="K378" i="175"/>
  <c r="K377" i="175"/>
  <c r="K376" i="175"/>
  <c r="M375" i="175"/>
  <c r="L375" i="175"/>
  <c r="K375" i="175"/>
  <c r="K373" i="175"/>
  <c r="K372" i="175"/>
  <c r="K371" i="175"/>
  <c r="K370" i="175"/>
  <c r="K369" i="175"/>
  <c r="K368" i="175"/>
  <c r="K367" i="175"/>
  <c r="K366" i="175"/>
  <c r="K365" i="175"/>
  <c r="K364" i="175"/>
  <c r="M363" i="175"/>
  <c r="L363" i="175"/>
  <c r="K363" i="175"/>
  <c r="K362" i="175"/>
  <c r="J362" i="175"/>
  <c r="K361" i="175"/>
  <c r="J361" i="175"/>
  <c r="K360" i="175"/>
  <c r="K359" i="175"/>
  <c r="K358" i="175"/>
  <c r="K357" i="175"/>
  <c r="K356" i="175"/>
  <c r="K355" i="175"/>
  <c r="K354" i="175"/>
  <c r="K353" i="175"/>
  <c r="K352" i="175"/>
  <c r="M351" i="175"/>
  <c r="L351" i="175"/>
  <c r="K351" i="175"/>
  <c r="K350" i="175"/>
  <c r="J350" i="175"/>
  <c r="K349" i="175"/>
  <c r="K348" i="175"/>
  <c r="K347" i="175"/>
  <c r="K346" i="175"/>
  <c r="K344" i="175"/>
  <c r="K343" i="175"/>
  <c r="K341" i="175"/>
  <c r="M340" i="175"/>
  <c r="L340" i="175"/>
  <c r="K340" i="175"/>
  <c r="K338" i="175"/>
  <c r="K337" i="175"/>
  <c r="K336" i="175"/>
  <c r="K335" i="175"/>
  <c r="K334" i="175"/>
  <c r="K332" i="175"/>
  <c r="K330" i="175"/>
  <c r="M329" i="175"/>
  <c r="L329" i="175"/>
  <c r="K329" i="175"/>
  <c r="K328" i="175"/>
  <c r="K327" i="175"/>
  <c r="K326" i="175"/>
  <c r="K325" i="175"/>
  <c r="K324" i="175"/>
  <c r="K323" i="175"/>
  <c r="K322" i="175"/>
  <c r="K321" i="175"/>
  <c r="K320" i="175"/>
  <c r="M319" i="175"/>
  <c r="L319" i="175"/>
  <c r="K319" i="175"/>
  <c r="K318" i="175"/>
  <c r="J318" i="175"/>
  <c r="K317" i="175"/>
  <c r="K316" i="175"/>
  <c r="K315" i="175"/>
  <c r="K314" i="175"/>
  <c r="K313" i="175"/>
  <c r="K312" i="175"/>
  <c r="K311" i="175"/>
  <c r="K310" i="175"/>
  <c r="K309" i="175"/>
  <c r="M308" i="175"/>
  <c r="L308" i="175"/>
  <c r="K308" i="175"/>
  <c r="K307" i="175"/>
  <c r="J307" i="175"/>
  <c r="K306" i="175"/>
  <c r="K305" i="175"/>
  <c r="K304" i="175"/>
  <c r="K303" i="175"/>
  <c r="K302" i="175"/>
  <c r="K301" i="175"/>
  <c r="K300" i="175"/>
  <c r="K299" i="175"/>
  <c r="K298" i="175"/>
  <c r="J298" i="175"/>
  <c r="K297" i="175"/>
  <c r="K296" i="175"/>
  <c r="K295" i="175"/>
  <c r="J295" i="175"/>
  <c r="K294" i="175"/>
  <c r="J294" i="175"/>
  <c r="K293" i="175"/>
  <c r="K292" i="175"/>
  <c r="J292" i="175"/>
  <c r="K291" i="175"/>
  <c r="J291" i="175"/>
  <c r="K290" i="175"/>
  <c r="K289" i="175"/>
  <c r="M288" i="175"/>
  <c r="L288" i="175"/>
  <c r="K288" i="175"/>
  <c r="K287" i="175"/>
  <c r="J287" i="175"/>
  <c r="K286" i="175"/>
  <c r="K285" i="175"/>
  <c r="K284" i="175"/>
  <c r="J284" i="175"/>
  <c r="K283" i="175"/>
  <c r="J283" i="175"/>
  <c r="K282" i="175"/>
  <c r="K281" i="175"/>
  <c r="K280" i="175"/>
  <c r="M279" i="175"/>
  <c r="L279" i="175"/>
  <c r="K279" i="175"/>
  <c r="K278" i="175"/>
  <c r="J278" i="175"/>
  <c r="K277" i="175"/>
  <c r="K276" i="175"/>
  <c r="K275" i="175"/>
  <c r="K274" i="175"/>
  <c r="K273" i="175"/>
  <c r="K272" i="175"/>
  <c r="K271" i="175"/>
  <c r="K270" i="175"/>
  <c r="K269" i="175"/>
  <c r="M268" i="175"/>
  <c r="L268" i="175"/>
  <c r="K268" i="175"/>
  <c r="K267" i="175"/>
  <c r="J267" i="175"/>
  <c r="K266" i="175"/>
  <c r="K265" i="175"/>
  <c r="K264" i="175"/>
  <c r="K263" i="175"/>
  <c r="K262" i="175"/>
  <c r="K261" i="175"/>
  <c r="K260" i="175"/>
  <c r="K259" i="175"/>
  <c r="K258" i="175"/>
  <c r="M257" i="175"/>
  <c r="L257" i="175"/>
  <c r="K257" i="175"/>
  <c r="K256" i="175"/>
  <c r="J256" i="175"/>
  <c r="K253" i="175"/>
  <c r="K252" i="175"/>
  <c r="K251" i="175"/>
  <c r="K250" i="175"/>
  <c r="K249" i="175"/>
  <c r="K248" i="175"/>
  <c r="K247" i="175"/>
  <c r="M246" i="175"/>
  <c r="L246" i="175"/>
  <c r="K246" i="175"/>
  <c r="K245" i="175"/>
  <c r="J245" i="175"/>
  <c r="K244" i="175"/>
  <c r="K243" i="175"/>
  <c r="K242" i="175"/>
  <c r="K241" i="175"/>
  <c r="K240" i="175"/>
  <c r="K239" i="175"/>
  <c r="K238" i="175"/>
  <c r="K237" i="175"/>
  <c r="K236" i="175"/>
  <c r="M235" i="175"/>
  <c r="L235" i="175"/>
  <c r="K235" i="175"/>
  <c r="K234" i="175"/>
  <c r="J234" i="175"/>
  <c r="K233" i="175"/>
  <c r="K232" i="175"/>
  <c r="K231" i="175"/>
  <c r="K230" i="175"/>
  <c r="K229" i="175"/>
  <c r="K228" i="175"/>
  <c r="K227" i="175"/>
  <c r="K226" i="175"/>
  <c r="K225" i="175"/>
  <c r="M224" i="175"/>
  <c r="L224" i="175"/>
  <c r="K224" i="175"/>
  <c r="K223" i="175"/>
  <c r="K222" i="175"/>
  <c r="K221" i="175"/>
  <c r="K220" i="175"/>
  <c r="K219" i="175"/>
  <c r="K218" i="175"/>
  <c r="K217" i="175"/>
  <c r="K216" i="175"/>
  <c r="K215" i="175"/>
  <c r="M214" i="175"/>
  <c r="L214" i="175"/>
  <c r="K214" i="175"/>
  <c r="K212" i="175"/>
  <c r="J212" i="175"/>
  <c r="K211" i="175"/>
  <c r="K210" i="175"/>
  <c r="K209" i="175"/>
  <c r="K208" i="175"/>
  <c r="K207" i="175"/>
  <c r="K206" i="175"/>
  <c r="K205" i="175"/>
  <c r="M204" i="175"/>
  <c r="L204" i="175"/>
  <c r="K204" i="175"/>
  <c r="K203" i="175"/>
  <c r="K202" i="175"/>
  <c r="K201" i="175"/>
  <c r="K200" i="175"/>
  <c r="K199" i="175"/>
  <c r="K198" i="175"/>
  <c r="K197" i="175"/>
  <c r="K196" i="175"/>
  <c r="M195" i="175"/>
  <c r="L195" i="175"/>
  <c r="K195" i="175"/>
  <c r="K194" i="175"/>
  <c r="K193" i="175"/>
  <c r="K192" i="175"/>
  <c r="K191" i="175"/>
  <c r="K190" i="175"/>
  <c r="K189" i="175"/>
  <c r="K188" i="175"/>
  <c r="K187" i="175"/>
  <c r="M186" i="175"/>
  <c r="L186" i="175"/>
  <c r="K186" i="175"/>
  <c r="K185" i="175"/>
  <c r="J185" i="175"/>
  <c r="K184" i="175"/>
  <c r="K183" i="175"/>
  <c r="K182" i="175"/>
  <c r="K181" i="175"/>
  <c r="K180" i="175"/>
  <c r="K179" i="175"/>
  <c r="K178" i="175"/>
  <c r="M177" i="175"/>
  <c r="L177" i="175"/>
  <c r="K177" i="175"/>
  <c r="K176" i="175"/>
  <c r="K175" i="175"/>
  <c r="K174" i="175"/>
  <c r="K173" i="175"/>
  <c r="K172" i="175"/>
  <c r="K171" i="175"/>
  <c r="K170" i="175"/>
  <c r="K169" i="175"/>
  <c r="K168" i="175"/>
  <c r="K167" i="175"/>
  <c r="K166" i="175"/>
  <c r="M165" i="175"/>
  <c r="L165" i="175"/>
  <c r="K165" i="175"/>
  <c r="K164" i="175"/>
  <c r="J164" i="175"/>
  <c r="K163" i="175"/>
  <c r="K162" i="175"/>
  <c r="K161" i="175"/>
  <c r="K160" i="175"/>
  <c r="K159" i="175"/>
  <c r="K158" i="175"/>
  <c r="K157" i="175"/>
  <c r="M156" i="175"/>
  <c r="L156" i="175"/>
  <c r="K156" i="175"/>
  <c r="K154" i="175"/>
  <c r="J154" i="175"/>
  <c r="K153" i="175"/>
  <c r="J153" i="175"/>
  <c r="K152" i="175"/>
  <c r="J152" i="175"/>
  <c r="K151" i="175"/>
  <c r="K150" i="175"/>
  <c r="K149" i="175"/>
  <c r="K148" i="175"/>
  <c r="K147" i="175"/>
  <c r="K146" i="175"/>
  <c r="K145" i="175"/>
  <c r="K144" i="175"/>
  <c r="K143" i="175"/>
  <c r="K142" i="175"/>
  <c r="M141" i="175"/>
  <c r="L141" i="175"/>
  <c r="K141" i="175"/>
  <c r="K140" i="175"/>
  <c r="J140" i="175"/>
  <c r="K139" i="175"/>
  <c r="K138" i="175"/>
  <c r="K137" i="175"/>
  <c r="K136" i="175"/>
  <c r="K135" i="175"/>
  <c r="K134" i="175"/>
  <c r="K133" i="175"/>
  <c r="M132" i="175"/>
  <c r="L132" i="175"/>
  <c r="K132" i="175"/>
  <c r="M130" i="175"/>
  <c r="L130" i="175"/>
  <c r="K130" i="175"/>
  <c r="E130" i="175"/>
  <c r="D130" i="175"/>
  <c r="C130" i="175"/>
  <c r="M129" i="175"/>
  <c r="L129" i="175"/>
  <c r="K129" i="175"/>
  <c r="K128" i="175"/>
  <c r="K127" i="175"/>
  <c r="K126" i="175"/>
  <c r="K125" i="175"/>
  <c r="K124" i="175"/>
  <c r="J124" i="175"/>
  <c r="K123" i="175"/>
  <c r="K122" i="175"/>
  <c r="K121" i="175"/>
  <c r="K120" i="175"/>
  <c r="M119" i="175"/>
  <c r="L119" i="175"/>
  <c r="K119" i="175"/>
  <c r="K118" i="175"/>
  <c r="K117" i="175"/>
  <c r="K116" i="175"/>
  <c r="K115" i="175"/>
  <c r="J115" i="175"/>
  <c r="K114" i="175"/>
  <c r="J114" i="175"/>
  <c r="K113" i="175"/>
  <c r="K112" i="175"/>
  <c r="K111" i="175"/>
  <c r="K110" i="175"/>
  <c r="M109" i="175"/>
  <c r="L109" i="175"/>
  <c r="K109" i="175"/>
  <c r="K108" i="175"/>
  <c r="K107" i="175"/>
  <c r="K106" i="175"/>
  <c r="K105" i="175"/>
  <c r="J105" i="175"/>
  <c r="K104" i="175"/>
  <c r="J104" i="175"/>
  <c r="K103" i="175"/>
  <c r="K102" i="175"/>
  <c r="K101" i="175"/>
  <c r="K100" i="175"/>
  <c r="M99" i="175"/>
  <c r="L99" i="175"/>
  <c r="K99" i="175"/>
  <c r="K98" i="175"/>
  <c r="K97" i="175"/>
  <c r="K96" i="175"/>
  <c r="K95" i="175"/>
  <c r="J95" i="175"/>
  <c r="K94" i="175"/>
  <c r="J94" i="175"/>
  <c r="K93" i="175"/>
  <c r="K92" i="175"/>
  <c r="K91" i="175"/>
  <c r="K90" i="175"/>
  <c r="K89" i="175"/>
  <c r="M88" i="175"/>
  <c r="L88" i="175"/>
  <c r="K88" i="175"/>
  <c r="K87" i="175"/>
  <c r="K86" i="175"/>
  <c r="K85" i="175"/>
  <c r="K84" i="175"/>
  <c r="J84" i="175"/>
  <c r="K83" i="175"/>
  <c r="J83" i="175"/>
  <c r="K82" i="175"/>
  <c r="J82" i="175"/>
  <c r="K81" i="175"/>
  <c r="K80" i="175"/>
  <c r="K79" i="175"/>
  <c r="M78" i="175"/>
  <c r="L78" i="175"/>
  <c r="K78" i="175"/>
  <c r="K77" i="175"/>
  <c r="K76" i="175"/>
  <c r="K75" i="175"/>
  <c r="K74" i="175"/>
  <c r="J74" i="175"/>
  <c r="K73" i="175"/>
  <c r="J73" i="175"/>
  <c r="K72" i="175"/>
  <c r="J72" i="175"/>
  <c r="K71" i="175"/>
  <c r="K70" i="175"/>
  <c r="K69" i="175"/>
  <c r="M68" i="175"/>
  <c r="L68" i="175"/>
  <c r="K68" i="175"/>
  <c r="K67" i="175"/>
  <c r="J67" i="175"/>
  <c r="K66" i="175"/>
  <c r="K65" i="175"/>
  <c r="J65" i="175"/>
  <c r="K64" i="175"/>
  <c r="J64" i="175"/>
  <c r="K63" i="175"/>
  <c r="J63" i="175"/>
  <c r="K62" i="175"/>
  <c r="K61" i="175"/>
  <c r="K60" i="175"/>
  <c r="M59" i="175"/>
  <c r="L59" i="175"/>
  <c r="K59" i="175"/>
  <c r="K58" i="175"/>
  <c r="J58" i="175"/>
  <c r="K57" i="175"/>
  <c r="K56" i="175"/>
  <c r="K55" i="175"/>
  <c r="K54" i="175"/>
  <c r="J54" i="175"/>
  <c r="K53" i="175"/>
  <c r="K52" i="175"/>
  <c r="J52" i="175"/>
  <c r="K50" i="175"/>
  <c r="M49" i="175"/>
  <c r="L49" i="175"/>
  <c r="K49" i="175"/>
  <c r="K48" i="175"/>
  <c r="J48" i="175"/>
  <c r="K47" i="175"/>
  <c r="J47" i="175"/>
  <c r="K46" i="175"/>
  <c r="K45" i="175"/>
  <c r="K44" i="175"/>
  <c r="J44" i="175"/>
  <c r="K43" i="175"/>
  <c r="J43" i="175"/>
  <c r="K42" i="175"/>
  <c r="J42" i="175"/>
  <c r="K41" i="175"/>
  <c r="K40" i="175"/>
  <c r="M39" i="175"/>
  <c r="L39" i="175"/>
  <c r="K39" i="175"/>
  <c r="K38" i="175"/>
  <c r="J38" i="175"/>
  <c r="K35" i="175"/>
  <c r="J35" i="175"/>
  <c r="K34" i="175"/>
  <c r="J34" i="175"/>
  <c r="K33" i="175"/>
  <c r="K32" i="175"/>
  <c r="K31" i="175"/>
  <c r="M30" i="175"/>
  <c r="L30" i="175"/>
  <c r="K30" i="175"/>
  <c r="K28" i="175"/>
  <c r="J28" i="175"/>
  <c r="K27" i="175"/>
  <c r="K26" i="175"/>
  <c r="K25" i="175"/>
  <c r="J25" i="175"/>
  <c r="K24" i="175"/>
  <c r="J24" i="175"/>
  <c r="K23" i="175"/>
  <c r="J23" i="175"/>
  <c r="K22" i="175"/>
  <c r="K21" i="175"/>
  <c r="M20" i="175"/>
  <c r="L20" i="175"/>
  <c r="K20" i="175"/>
  <c r="K19" i="175"/>
  <c r="K18" i="175"/>
  <c r="K17" i="175"/>
  <c r="K16" i="175"/>
  <c r="K15" i="175"/>
  <c r="J15" i="175"/>
  <c r="K14" i="175"/>
  <c r="K13" i="175"/>
  <c r="K12" i="175"/>
  <c r="K11" i="175"/>
  <c r="M10" i="175"/>
  <c r="L10" i="175"/>
  <c r="K10" i="175"/>
  <c r="M8" i="175"/>
  <c r="L8" i="175"/>
  <c r="K8" i="175"/>
  <c r="F8" i="175"/>
  <c r="E8" i="175"/>
  <c r="D8" i="175"/>
  <c r="C8" i="175"/>
  <c r="M7" i="175"/>
  <c r="L7" i="175"/>
  <c r="K7" i="175"/>
  <c r="F7" i="175"/>
  <c r="E7" i="175"/>
  <c r="D7" i="175"/>
  <c r="C7" i="175"/>
  <c r="M6" i="175"/>
  <c r="K6" i="175"/>
  <c r="H64" i="176"/>
  <c r="G64" i="176"/>
  <c r="F64" i="176"/>
  <c r="E64" i="176"/>
  <c r="G63" i="176"/>
  <c r="G62" i="176"/>
  <c r="G61" i="176"/>
  <c r="G60" i="176"/>
  <c r="H59" i="176"/>
  <c r="G59" i="176"/>
  <c r="F59" i="176"/>
  <c r="E59" i="176"/>
  <c r="G58" i="176"/>
  <c r="G57" i="176"/>
  <c r="H56" i="176"/>
  <c r="G56" i="176"/>
  <c r="F56" i="176"/>
  <c r="E56" i="176"/>
  <c r="H55" i="176"/>
  <c r="G55" i="176"/>
  <c r="F55" i="176"/>
  <c r="E55" i="176"/>
  <c r="G54" i="176"/>
  <c r="G53" i="176"/>
  <c r="G52" i="176"/>
  <c r="H51" i="176"/>
  <c r="G51" i="176"/>
  <c r="F51" i="176"/>
  <c r="E51" i="176"/>
  <c r="G50" i="176"/>
  <c r="G49" i="176"/>
  <c r="G48" i="176"/>
  <c r="G47" i="176"/>
  <c r="G46" i="176"/>
  <c r="G45" i="176"/>
  <c r="G44" i="176"/>
  <c r="G43" i="176"/>
  <c r="G42" i="176"/>
  <c r="H41" i="176"/>
  <c r="G41" i="176"/>
  <c r="F41" i="176"/>
  <c r="E41" i="176"/>
  <c r="H40" i="176"/>
  <c r="G40" i="176"/>
  <c r="F40" i="176"/>
  <c r="E40" i="176"/>
  <c r="G39" i="176"/>
  <c r="G38" i="176"/>
  <c r="G37" i="176"/>
  <c r="G36" i="176"/>
  <c r="G35" i="176"/>
  <c r="G34" i="176"/>
  <c r="H33" i="176"/>
  <c r="G33" i="176"/>
  <c r="F33" i="176"/>
  <c r="E33" i="176"/>
  <c r="G32" i="176"/>
  <c r="G31" i="176"/>
  <c r="G30" i="176"/>
  <c r="G29" i="176"/>
  <c r="G28" i="176"/>
  <c r="G27" i="176"/>
  <c r="G26" i="176"/>
  <c r="G25" i="176"/>
  <c r="G24" i="176"/>
  <c r="H23" i="176"/>
  <c r="G23" i="176"/>
  <c r="F23" i="176"/>
  <c r="E23" i="176"/>
  <c r="H22" i="176"/>
  <c r="G22" i="176"/>
  <c r="F22" i="176"/>
  <c r="E22" i="176"/>
  <c r="G21" i="176"/>
  <c r="G20" i="176"/>
  <c r="G19" i="176"/>
  <c r="G18" i="176"/>
  <c r="G17" i="176"/>
  <c r="G16" i="176"/>
  <c r="H15" i="176"/>
  <c r="G15" i="176"/>
  <c r="F15" i="176"/>
  <c r="E15" i="176"/>
  <c r="G14" i="176"/>
  <c r="G13" i="176"/>
  <c r="G12" i="176"/>
  <c r="H11" i="176"/>
  <c r="G11" i="176"/>
  <c r="F11" i="176"/>
  <c r="E11" i="176"/>
  <c r="H10" i="176"/>
  <c r="G10" i="176"/>
  <c r="F10" i="176"/>
  <c r="E10" i="176"/>
  <c r="L7" i="176"/>
  <c r="E7" i="176"/>
  <c r="L4" i="176"/>
  <c r="E4" i="176"/>
  <c r="J444" i="174"/>
  <c r="I444" i="174"/>
  <c r="J443" i="174"/>
  <c r="J442" i="174"/>
  <c r="J441" i="174"/>
  <c r="J440" i="174"/>
  <c r="J439" i="174"/>
  <c r="J438" i="174"/>
  <c r="J437" i="174"/>
  <c r="J436" i="174"/>
  <c r="J435" i="174"/>
  <c r="I435" i="174"/>
  <c r="J434" i="174"/>
  <c r="J433" i="174"/>
  <c r="J432" i="174"/>
  <c r="J431" i="174"/>
  <c r="J430" i="174"/>
  <c r="J429" i="174"/>
  <c r="J428" i="174"/>
  <c r="J427" i="174"/>
  <c r="J426" i="174"/>
  <c r="J425" i="174"/>
  <c r="J424" i="174"/>
  <c r="I424" i="174"/>
  <c r="J423" i="174"/>
  <c r="J422" i="174"/>
  <c r="J420" i="174"/>
  <c r="J419" i="174"/>
  <c r="J418" i="174"/>
  <c r="J417" i="174"/>
  <c r="J416" i="174"/>
  <c r="J415" i="174"/>
  <c r="J414" i="174"/>
  <c r="I414" i="174"/>
  <c r="J413" i="174"/>
  <c r="J412" i="174"/>
  <c r="J411" i="174"/>
  <c r="J410" i="174"/>
  <c r="J409" i="174"/>
  <c r="J408" i="174"/>
  <c r="J407" i="174"/>
  <c r="J406" i="174"/>
  <c r="J405" i="174"/>
  <c r="J404" i="174"/>
  <c r="I404" i="174"/>
  <c r="J403" i="174"/>
  <c r="J402" i="174"/>
  <c r="J401" i="174"/>
  <c r="J400" i="174"/>
  <c r="J399" i="174"/>
  <c r="J398" i="174"/>
  <c r="J397" i="174"/>
  <c r="J396" i="174"/>
  <c r="J395" i="174"/>
  <c r="J394" i="174"/>
  <c r="J393" i="174"/>
  <c r="J392" i="174"/>
  <c r="J391" i="174"/>
  <c r="J390" i="174"/>
  <c r="J389" i="174"/>
  <c r="J388" i="174"/>
  <c r="J387" i="174"/>
  <c r="J386" i="174"/>
  <c r="J385" i="174"/>
  <c r="J384" i="174"/>
  <c r="I384" i="174"/>
  <c r="J383" i="174"/>
  <c r="J382" i="174"/>
  <c r="J381" i="174"/>
  <c r="J380" i="174"/>
  <c r="J379" i="174"/>
  <c r="J378" i="174"/>
  <c r="J377" i="174"/>
  <c r="J376" i="174"/>
  <c r="J374" i="174"/>
  <c r="J373" i="174"/>
  <c r="J372" i="174"/>
  <c r="J371" i="174"/>
  <c r="J370" i="174"/>
  <c r="J369" i="174"/>
  <c r="J368" i="174"/>
  <c r="J367" i="174"/>
  <c r="J366" i="174"/>
  <c r="J365" i="174"/>
  <c r="J364" i="174"/>
  <c r="J363" i="174"/>
  <c r="I363" i="174"/>
  <c r="J362" i="174"/>
  <c r="I362" i="174"/>
  <c r="J361" i="174"/>
  <c r="J360" i="174"/>
  <c r="J359" i="174"/>
  <c r="J358" i="174"/>
  <c r="J357" i="174"/>
  <c r="J356" i="174"/>
  <c r="J355" i="174"/>
  <c r="J354" i="174"/>
  <c r="J353" i="174"/>
  <c r="J352" i="174"/>
  <c r="J351" i="174"/>
  <c r="I351" i="174"/>
  <c r="J350" i="174"/>
  <c r="J349" i="174"/>
  <c r="J348" i="174"/>
  <c r="J347" i="174"/>
  <c r="J345" i="174"/>
  <c r="J344" i="174"/>
  <c r="J342" i="174"/>
  <c r="J341" i="174"/>
  <c r="J339" i="174"/>
  <c r="J338" i="174"/>
  <c r="J337" i="174"/>
  <c r="J336" i="174"/>
  <c r="J335" i="174"/>
  <c r="J333" i="174"/>
  <c r="J331" i="174"/>
  <c r="J330" i="174"/>
  <c r="J329" i="174"/>
  <c r="J328" i="174"/>
  <c r="J327" i="174"/>
  <c r="J326" i="174"/>
  <c r="J325" i="174"/>
  <c r="J324" i="174"/>
  <c r="J323" i="174"/>
  <c r="J322" i="174"/>
  <c r="J321" i="174"/>
  <c r="J320" i="174"/>
  <c r="J319" i="174"/>
  <c r="I319" i="174"/>
  <c r="J318" i="174"/>
  <c r="J317" i="174"/>
  <c r="J316" i="174"/>
  <c r="J315" i="174"/>
  <c r="J314" i="174"/>
  <c r="J313" i="174"/>
  <c r="J312" i="174"/>
  <c r="J311" i="174"/>
  <c r="J310" i="174"/>
  <c r="J309" i="174"/>
  <c r="J308" i="174"/>
  <c r="I308" i="174"/>
  <c r="J307" i="174"/>
  <c r="J306" i="174"/>
  <c r="J305" i="174"/>
  <c r="J304" i="174"/>
  <c r="J303" i="174"/>
  <c r="J302" i="174"/>
  <c r="J301" i="174"/>
  <c r="J300" i="174"/>
  <c r="J299" i="174"/>
  <c r="I299" i="174"/>
  <c r="J298" i="174"/>
  <c r="J297" i="174"/>
  <c r="J296" i="174"/>
  <c r="I296" i="174"/>
  <c r="J295" i="174"/>
  <c r="I295" i="174"/>
  <c r="J294" i="174"/>
  <c r="J293" i="174"/>
  <c r="I293" i="174"/>
  <c r="J292" i="174"/>
  <c r="I292" i="174"/>
  <c r="J291" i="174"/>
  <c r="J290" i="174"/>
  <c r="J289" i="174"/>
  <c r="J288" i="174"/>
  <c r="I288" i="174"/>
  <c r="J287" i="174"/>
  <c r="J286" i="174"/>
  <c r="J285" i="174"/>
  <c r="I285" i="174"/>
  <c r="J284" i="174"/>
  <c r="I284" i="174"/>
  <c r="J283" i="174"/>
  <c r="J282" i="174"/>
  <c r="J281" i="174"/>
  <c r="J280" i="174"/>
  <c r="J279" i="174"/>
  <c r="I279" i="174"/>
  <c r="J278" i="174"/>
  <c r="J277" i="174"/>
  <c r="J276" i="174"/>
  <c r="J275" i="174"/>
  <c r="J274" i="174"/>
  <c r="J273" i="174"/>
  <c r="J272" i="174"/>
  <c r="J271" i="174"/>
  <c r="J270" i="174"/>
  <c r="J269" i="174"/>
  <c r="J268" i="174"/>
  <c r="I268" i="174"/>
  <c r="J267" i="174"/>
  <c r="J266" i="174"/>
  <c r="J265" i="174"/>
  <c r="J264" i="174"/>
  <c r="J263" i="174"/>
  <c r="J262" i="174"/>
  <c r="J261" i="174"/>
  <c r="J260" i="174"/>
  <c r="J259" i="174"/>
  <c r="J258" i="174"/>
  <c r="J257" i="174"/>
  <c r="I257" i="174"/>
  <c r="J254" i="174"/>
  <c r="J253" i="174"/>
  <c r="J252" i="174"/>
  <c r="J251" i="174"/>
  <c r="J250" i="174"/>
  <c r="J249" i="174"/>
  <c r="J248" i="174"/>
  <c r="J247" i="174"/>
  <c r="J246" i="174"/>
  <c r="I246" i="174"/>
  <c r="J245" i="174"/>
  <c r="J244" i="174"/>
  <c r="J243" i="174"/>
  <c r="J242" i="174"/>
  <c r="J241" i="174"/>
  <c r="J240" i="174"/>
  <c r="J239" i="174"/>
  <c r="J238" i="174"/>
  <c r="J237" i="174"/>
  <c r="J236" i="174"/>
  <c r="J235" i="174"/>
  <c r="I235" i="174"/>
  <c r="J234" i="174"/>
  <c r="J233" i="174"/>
  <c r="J232" i="174"/>
  <c r="J231" i="174"/>
  <c r="J230" i="174"/>
  <c r="J229" i="174"/>
  <c r="J228" i="174"/>
  <c r="J227" i="174"/>
  <c r="J226" i="174"/>
  <c r="J225" i="174"/>
  <c r="J224" i="174"/>
  <c r="J223" i="174"/>
  <c r="J222" i="174"/>
  <c r="J221" i="174"/>
  <c r="J220" i="174"/>
  <c r="J219" i="174"/>
  <c r="J218" i="174"/>
  <c r="J217" i="174"/>
  <c r="J216" i="174"/>
  <c r="J215" i="174"/>
  <c r="J213" i="174"/>
  <c r="I213" i="174"/>
  <c r="J212" i="174"/>
  <c r="J211" i="174"/>
  <c r="J210" i="174"/>
  <c r="J209" i="174"/>
  <c r="J208" i="174"/>
  <c r="J207" i="174"/>
  <c r="J206" i="174"/>
  <c r="J205" i="174"/>
  <c r="J204" i="174"/>
  <c r="J203" i="174"/>
  <c r="J202" i="174"/>
  <c r="J201" i="174"/>
  <c r="J200" i="174"/>
  <c r="J199" i="174"/>
  <c r="J198" i="174"/>
  <c r="J197" i="174"/>
  <c r="J196" i="174"/>
  <c r="J195" i="174"/>
  <c r="J194" i="174"/>
  <c r="J193" i="174"/>
  <c r="J192" i="174"/>
  <c r="J191" i="174"/>
  <c r="J190" i="174"/>
  <c r="J189" i="174"/>
  <c r="J188" i="174"/>
  <c r="J187" i="174"/>
  <c r="J186" i="174"/>
  <c r="I186" i="174"/>
  <c r="J185" i="174"/>
  <c r="J184" i="174"/>
  <c r="J183" i="174"/>
  <c r="J182" i="174"/>
  <c r="J181" i="174"/>
  <c r="J180" i="174"/>
  <c r="J179" i="174"/>
  <c r="J178" i="174"/>
  <c r="J177" i="174"/>
  <c r="J176" i="174"/>
  <c r="J175" i="174"/>
  <c r="J174" i="174"/>
  <c r="J173" i="174"/>
  <c r="J172" i="174"/>
  <c r="J171" i="174"/>
  <c r="J170" i="174"/>
  <c r="J169" i="174"/>
  <c r="J168" i="174"/>
  <c r="J167" i="174"/>
  <c r="J166" i="174"/>
  <c r="J165" i="174"/>
  <c r="I165" i="174"/>
  <c r="J164" i="174"/>
  <c r="J163" i="174"/>
  <c r="J162" i="174"/>
  <c r="J161" i="174"/>
  <c r="J160" i="174"/>
  <c r="J159" i="174"/>
  <c r="J158" i="174"/>
  <c r="J157" i="174"/>
  <c r="J155" i="174"/>
  <c r="I155" i="174"/>
  <c r="J154" i="174"/>
  <c r="I154" i="174"/>
  <c r="J153" i="174"/>
  <c r="I153" i="174"/>
  <c r="J152" i="174"/>
  <c r="J151" i="174"/>
  <c r="J150" i="174"/>
  <c r="J149" i="174"/>
  <c r="J148" i="174"/>
  <c r="J147" i="174"/>
  <c r="J146" i="174"/>
  <c r="J145" i="174"/>
  <c r="J144" i="174"/>
  <c r="J143" i="174"/>
  <c r="J142" i="174"/>
  <c r="J141" i="174"/>
  <c r="I141" i="174"/>
  <c r="J140" i="174"/>
  <c r="J139" i="174"/>
  <c r="J138" i="174"/>
  <c r="J137" i="174"/>
  <c r="J136" i="174"/>
  <c r="J135" i="174"/>
  <c r="J134" i="174"/>
  <c r="J133" i="174"/>
  <c r="J131" i="174"/>
  <c r="D131" i="174"/>
  <c r="C131" i="174"/>
  <c r="B131" i="174"/>
  <c r="J130" i="174"/>
  <c r="J129" i="174"/>
  <c r="J128" i="174"/>
  <c r="J127" i="174"/>
  <c r="J126" i="174"/>
  <c r="J125" i="174"/>
  <c r="I125" i="174"/>
  <c r="J124" i="174"/>
  <c r="J123" i="174"/>
  <c r="J122" i="174"/>
  <c r="J121" i="174"/>
  <c r="J120" i="174"/>
  <c r="J119" i="174"/>
  <c r="J118" i="174"/>
  <c r="J117" i="174"/>
  <c r="J116" i="174"/>
  <c r="I116" i="174"/>
  <c r="J115" i="174"/>
  <c r="I115" i="174"/>
  <c r="J114" i="174"/>
  <c r="J113" i="174"/>
  <c r="J112" i="174"/>
  <c r="J111" i="174"/>
  <c r="J110" i="174"/>
  <c r="J109" i="174"/>
  <c r="J108" i="174"/>
  <c r="J107" i="174"/>
  <c r="J106" i="174"/>
  <c r="I106" i="174"/>
  <c r="J105" i="174"/>
  <c r="I105" i="174"/>
  <c r="J104" i="174"/>
  <c r="J103" i="174"/>
  <c r="J102" i="174"/>
  <c r="J101" i="174"/>
  <c r="J100" i="174"/>
  <c r="J99" i="174"/>
  <c r="J98" i="174"/>
  <c r="J97" i="174"/>
  <c r="J96" i="174"/>
  <c r="I96" i="174"/>
  <c r="J95" i="174"/>
  <c r="I95" i="174"/>
  <c r="J94" i="174"/>
  <c r="J93" i="174"/>
  <c r="J92" i="174"/>
  <c r="J91" i="174"/>
  <c r="J90" i="174"/>
  <c r="J89" i="174"/>
  <c r="J88" i="174"/>
  <c r="J87" i="174"/>
  <c r="J86" i="174"/>
  <c r="J85" i="174"/>
  <c r="I85" i="174"/>
  <c r="J84" i="174"/>
  <c r="I84" i="174"/>
  <c r="J83" i="174"/>
  <c r="I83" i="174"/>
  <c r="J82" i="174"/>
  <c r="J81" i="174"/>
  <c r="J80" i="174"/>
  <c r="J79" i="174"/>
  <c r="J78" i="174"/>
  <c r="J77" i="174"/>
  <c r="J76" i="174"/>
  <c r="J75" i="174"/>
  <c r="I75" i="174"/>
  <c r="J74" i="174"/>
  <c r="I74" i="174"/>
  <c r="J73" i="174"/>
  <c r="I73" i="174"/>
  <c r="J72" i="174"/>
  <c r="J71" i="174"/>
  <c r="J70" i="174"/>
  <c r="J69" i="174"/>
  <c r="J68" i="174"/>
  <c r="I68" i="174"/>
  <c r="J67" i="174"/>
  <c r="J66" i="174"/>
  <c r="I66" i="174"/>
  <c r="J65" i="174"/>
  <c r="I65" i="174"/>
  <c r="J64" i="174"/>
  <c r="I64" i="174"/>
  <c r="J63" i="174"/>
  <c r="J62" i="174"/>
  <c r="J61" i="174"/>
  <c r="J60" i="174"/>
  <c r="J59" i="174"/>
  <c r="I59" i="174"/>
  <c r="J58" i="174"/>
  <c r="J57" i="174"/>
  <c r="J56" i="174"/>
  <c r="J55" i="174"/>
  <c r="I55" i="174"/>
  <c r="J54" i="174"/>
  <c r="J53" i="174"/>
  <c r="I53" i="174"/>
  <c r="J51" i="174"/>
  <c r="J50" i="174"/>
  <c r="J49" i="174"/>
  <c r="I49" i="174"/>
  <c r="J48" i="174"/>
  <c r="I48" i="174"/>
  <c r="J47" i="174"/>
  <c r="J46" i="174"/>
  <c r="J45" i="174"/>
  <c r="I45" i="174"/>
  <c r="J44" i="174"/>
  <c r="I44" i="174"/>
  <c r="J43" i="174"/>
  <c r="I43" i="174"/>
  <c r="J42" i="174"/>
  <c r="J41" i="174"/>
  <c r="J40" i="174"/>
  <c r="J39" i="174"/>
  <c r="I39" i="174"/>
  <c r="J36" i="174"/>
  <c r="I36" i="174"/>
  <c r="J35" i="174"/>
  <c r="I35" i="174"/>
  <c r="J34" i="174"/>
  <c r="J33" i="174"/>
  <c r="J32" i="174"/>
  <c r="J31" i="174"/>
  <c r="J29" i="174"/>
  <c r="I29" i="174"/>
  <c r="J28" i="174"/>
  <c r="J27" i="174"/>
  <c r="J26" i="174"/>
  <c r="I26" i="174"/>
  <c r="J25" i="174"/>
  <c r="I25" i="174"/>
  <c r="J24" i="174"/>
  <c r="I24" i="174"/>
  <c r="J23" i="174"/>
  <c r="J22" i="174"/>
  <c r="J21" i="174"/>
  <c r="J20" i="174"/>
  <c r="J19" i="174"/>
  <c r="J18" i="174"/>
  <c r="J17" i="174"/>
  <c r="J16" i="174"/>
  <c r="I16" i="174"/>
  <c r="J15" i="174"/>
  <c r="J14" i="174"/>
  <c r="J13" i="174"/>
  <c r="J12" i="174"/>
  <c r="J11" i="174"/>
  <c r="J9" i="174"/>
  <c r="D9" i="174"/>
  <c r="C9" i="174"/>
  <c r="B9" i="174"/>
  <c r="J8" i="174"/>
  <c r="J7" i="174"/>
  <c r="L20" i="19"/>
  <c r="K20" i="19"/>
  <c r="I20" i="19"/>
  <c r="F20" i="19"/>
  <c r="C20" i="19"/>
  <c r="I12" i="59"/>
  <c r="I11" i="59"/>
  <c r="I6" i="59"/>
  <c r="P105" i="1"/>
  <c r="I105" i="1"/>
  <c r="F105" i="1"/>
  <c r="P104" i="1"/>
  <c r="I104" i="1"/>
  <c r="F104" i="1"/>
  <c r="P103" i="1"/>
  <c r="O103" i="1"/>
  <c r="K103" i="1"/>
  <c r="I103" i="1"/>
  <c r="F103" i="1"/>
  <c r="P102" i="1"/>
  <c r="P85" i="1"/>
  <c r="I85" i="1"/>
  <c r="F85" i="1"/>
  <c r="P84" i="1"/>
  <c r="I84" i="1"/>
  <c r="F84" i="1"/>
  <c r="P83" i="1"/>
  <c r="O83" i="1"/>
  <c r="K83" i="1"/>
  <c r="I83" i="1"/>
  <c r="F83" i="1"/>
  <c r="P82" i="1"/>
  <c r="P80" i="1"/>
  <c r="I80" i="1"/>
  <c r="F80" i="1"/>
  <c r="P79" i="1"/>
  <c r="I79" i="1"/>
  <c r="F79" i="1"/>
  <c r="P78" i="1"/>
  <c r="I78" i="1"/>
  <c r="F78" i="1"/>
  <c r="P77" i="1"/>
  <c r="I77" i="1"/>
  <c r="F77" i="1"/>
  <c r="P76" i="1"/>
  <c r="I76" i="1"/>
  <c r="F76" i="1"/>
  <c r="P75" i="1"/>
  <c r="I75" i="1"/>
  <c r="F75" i="1"/>
  <c r="P74" i="1"/>
  <c r="I74" i="1"/>
  <c r="F74" i="1"/>
  <c r="P73" i="1"/>
  <c r="O73" i="1"/>
  <c r="M73" i="1"/>
  <c r="K73" i="1"/>
  <c r="I73" i="1"/>
  <c r="F73" i="1"/>
  <c r="P72" i="1"/>
  <c r="F72" i="1"/>
  <c r="P71" i="1"/>
  <c r="O71" i="1"/>
  <c r="K71" i="1"/>
  <c r="I71" i="1"/>
  <c r="F71" i="1"/>
  <c r="P70" i="1"/>
  <c r="I70" i="1"/>
  <c r="F70" i="1"/>
  <c r="P69" i="1"/>
  <c r="I69" i="1"/>
  <c r="F69" i="1"/>
  <c r="P68" i="1"/>
  <c r="I68" i="1"/>
  <c r="F68" i="1"/>
  <c r="P67" i="1"/>
  <c r="I67" i="1"/>
  <c r="F67" i="1"/>
  <c r="P66" i="1"/>
  <c r="O66" i="1"/>
  <c r="M66" i="1"/>
  <c r="K66" i="1"/>
  <c r="I66" i="1"/>
  <c r="F66" i="1"/>
  <c r="P65" i="1"/>
  <c r="I65" i="1"/>
  <c r="F65" i="1"/>
  <c r="P64" i="1"/>
  <c r="I64" i="1"/>
  <c r="F64" i="1"/>
  <c r="P63" i="1"/>
  <c r="O63" i="1"/>
  <c r="K63" i="1"/>
  <c r="I63" i="1"/>
  <c r="F63" i="1"/>
  <c r="P62" i="1"/>
  <c r="P61" i="1"/>
  <c r="I61" i="1"/>
  <c r="F61" i="1"/>
  <c r="P60" i="1"/>
  <c r="I60" i="1"/>
  <c r="F60" i="1"/>
  <c r="P59" i="1"/>
  <c r="I59" i="1"/>
  <c r="F59" i="1"/>
  <c r="P58" i="1"/>
  <c r="I58" i="1"/>
  <c r="F58" i="1"/>
  <c r="P57" i="1"/>
  <c r="O57" i="1"/>
  <c r="K57" i="1"/>
  <c r="I57" i="1"/>
  <c r="F57" i="1"/>
  <c r="P56" i="1"/>
  <c r="I56" i="1"/>
  <c r="F56" i="1"/>
  <c r="P55" i="1"/>
  <c r="I55" i="1"/>
  <c r="F55" i="1"/>
  <c r="P54" i="1"/>
  <c r="I54" i="1"/>
  <c r="F54" i="1"/>
  <c r="P53" i="1"/>
  <c r="I53" i="1"/>
  <c r="F53" i="1"/>
  <c r="P52" i="1"/>
  <c r="I52" i="1"/>
  <c r="F52" i="1"/>
  <c r="P51" i="1"/>
  <c r="I51" i="1"/>
  <c r="F51" i="1"/>
  <c r="P50" i="1"/>
  <c r="I50" i="1"/>
  <c r="F50" i="1"/>
  <c r="P49" i="1"/>
  <c r="I49" i="1"/>
  <c r="F49" i="1"/>
  <c r="P48" i="1"/>
  <c r="I48" i="1"/>
  <c r="F48" i="1"/>
  <c r="P47" i="1"/>
  <c r="I47" i="1"/>
  <c r="F47" i="1"/>
  <c r="P46" i="1"/>
  <c r="O46" i="1"/>
  <c r="K46" i="1"/>
  <c r="I46" i="1"/>
  <c r="F46" i="1"/>
  <c r="P45" i="1"/>
  <c r="I45" i="1"/>
  <c r="F45" i="1"/>
  <c r="P44" i="1"/>
  <c r="I44" i="1"/>
  <c r="F44" i="1"/>
  <c r="P43" i="1"/>
  <c r="I43" i="1"/>
  <c r="F43" i="1"/>
  <c r="P42" i="1"/>
  <c r="O42" i="1"/>
  <c r="K42" i="1"/>
  <c r="I42" i="1"/>
  <c r="F42" i="1"/>
  <c r="P41" i="1"/>
  <c r="P39" i="1"/>
  <c r="I39" i="1"/>
  <c r="F39" i="1"/>
  <c r="P38" i="1"/>
  <c r="I38" i="1"/>
  <c r="F38" i="1"/>
  <c r="P37" i="1"/>
  <c r="O37" i="1"/>
  <c r="K37" i="1"/>
  <c r="I37" i="1"/>
  <c r="F37" i="1"/>
  <c r="P36" i="1"/>
  <c r="P34" i="1"/>
  <c r="I34" i="1"/>
  <c r="F34" i="1"/>
  <c r="P33" i="1"/>
  <c r="I33" i="1"/>
  <c r="F33" i="1"/>
  <c r="P32" i="1"/>
  <c r="O32" i="1"/>
  <c r="L32" i="1"/>
  <c r="K32" i="1"/>
  <c r="I32" i="1"/>
  <c r="F32" i="1"/>
  <c r="P30" i="1"/>
  <c r="I30" i="1"/>
  <c r="F30" i="1"/>
  <c r="P29" i="1"/>
  <c r="O29" i="1"/>
  <c r="L29" i="1"/>
  <c r="K29" i="1"/>
  <c r="I29" i="1"/>
  <c r="F29" i="1"/>
  <c r="P28" i="1"/>
  <c r="I28" i="1"/>
  <c r="F28" i="1"/>
  <c r="P27" i="1"/>
  <c r="I27" i="1"/>
  <c r="F27" i="1"/>
  <c r="P26" i="1"/>
  <c r="O26" i="1"/>
  <c r="L26" i="1"/>
  <c r="K26" i="1"/>
  <c r="I26" i="1"/>
  <c r="F26" i="1"/>
  <c r="P24" i="1"/>
  <c r="I24" i="1"/>
  <c r="F24" i="1"/>
  <c r="P23" i="1"/>
  <c r="I23" i="1"/>
  <c r="F23" i="1"/>
  <c r="P22" i="1"/>
  <c r="O22" i="1"/>
  <c r="L22" i="1"/>
  <c r="K22" i="1"/>
  <c r="I22" i="1"/>
  <c r="F22" i="1"/>
  <c r="P20" i="1"/>
  <c r="I20" i="1"/>
  <c r="F20" i="1"/>
  <c r="P19" i="1"/>
  <c r="I19" i="1"/>
  <c r="F19" i="1"/>
  <c r="P18" i="1"/>
  <c r="O18" i="1"/>
  <c r="N18" i="1"/>
  <c r="L18" i="1"/>
  <c r="K18" i="1"/>
  <c r="I18" i="1"/>
  <c r="F18" i="1"/>
  <c r="P16" i="1"/>
  <c r="I16" i="1"/>
  <c r="F16" i="1"/>
  <c r="P15" i="1"/>
  <c r="I15" i="1"/>
  <c r="F15" i="1"/>
  <c r="P14" i="1"/>
  <c r="I14" i="1"/>
  <c r="F14" i="1"/>
  <c r="P13" i="1"/>
  <c r="I13" i="1"/>
  <c r="F13" i="1"/>
  <c r="P12" i="1"/>
  <c r="O12" i="1"/>
  <c r="N12" i="1"/>
  <c r="L12" i="1"/>
  <c r="K12" i="1"/>
  <c r="I12" i="1"/>
  <c r="F12" i="1"/>
  <c r="P11" i="1"/>
  <c r="P10" i="1"/>
  <c r="I10" i="1"/>
  <c r="F10" i="1"/>
  <c r="P9" i="1"/>
  <c r="I9" i="1"/>
  <c r="F9" i="1"/>
  <c r="P8" i="1"/>
  <c r="O8" i="1"/>
  <c r="K8" i="1"/>
  <c r="I8" i="1"/>
  <c r="F8" i="1"/>
  <c r="P7" i="1"/>
</calcChain>
</file>

<file path=xl/sharedStrings.xml><?xml version="1.0" encoding="utf-8"?>
<sst xmlns="http://schemas.openxmlformats.org/spreadsheetml/2006/main" count="1546" uniqueCount="535">
  <si>
    <r>
      <rPr>
        <b/>
        <u/>
        <sz val="16"/>
        <color rgb="FF0000FF"/>
        <rFont val="TH SarabunPSK"/>
        <family val="2"/>
      </rPr>
      <t>เหตุผลความจำเป็น</t>
    </r>
    <r>
      <rPr>
        <sz val="16"/>
        <color rgb="FF0000FF"/>
        <rFont val="TH SarabunPSK"/>
        <family val="2"/>
      </rPr>
      <t xml:space="preserve">
   การประชุมตามข้อตกลงพันธะสัญญาที่ประเทศไทยเป็นรัฐภาคีกรอบอนุสัญญาว่าด้วยการควบคุมยาสูบขององค์การอนามัยโลก และเข้าร่วมยกร่างแนวปฏิบัติข้อ 6 ของกรอบอนุสัญญาว่าด้วยการควบคุมยาสูบ เพื่อให้สอดคล้องกับกรอบอนุสัญญาแม่บท
</t>
    </r>
    <r>
      <rPr>
        <b/>
        <u/>
        <sz val="16"/>
        <color rgb="FF0000FF"/>
        <rFont val="TH SarabunPSK"/>
        <family val="2"/>
      </rPr>
      <t>วัตถุประสงค์</t>
    </r>
    <r>
      <rPr>
        <sz val="16"/>
        <color rgb="FF0000FF"/>
        <rFont val="TH SarabunPSK"/>
        <family val="2"/>
      </rPr>
      <t xml:space="preserve">
    เพื่อเข้าร่วมการประชุมคณะทำงานจัดทำร่างแนวปฏิบัติขององค์การอนามัยโลกข้อ 6 การควบคุมราคาและมาตรการทางภาษี ตามกรอบอนุสัญญาว่าด้วยการควบคุมยาสูบขององค์การอนามัยโลก
</t>
    </r>
    <r>
      <rPr>
        <b/>
        <u/>
        <sz val="16"/>
        <color rgb="FF0000FF"/>
        <rFont val="TH SarabunPSK"/>
        <family val="2"/>
      </rPr>
      <t>ผลประโยชน์ที่จะได้รับ</t>
    </r>
    <r>
      <rPr>
        <sz val="16"/>
        <color rgb="FF0000FF"/>
        <rFont val="TH SarabunPSK"/>
        <family val="2"/>
      </rPr>
      <t xml:space="preserve">
    ร่วมเป็นคณะทำงานยกร่างแนวทางปฏิบัติข้อ 6 และได้รับทราบประเด็นปัญหา ข้อเสนอแนะ และแนวทางการดำเนินงานของแต่ละประเทศ รวมทั้งได้เข้าร่วมแสดงความคิดเห็นในส่วนของประเทศไทย</t>
    </r>
  </si>
  <si>
    <t>2. นักวิชาการสาธารณสุขชำนาญการพิเศษ
  - เป็นผู้แทนประเทศไทยและรับผิดชอบกำกับติดตามการดำเนินงานตามข้อ 6 WHO FCTC</t>
  </si>
  <si>
    <r>
      <rPr>
        <b/>
        <u/>
        <sz val="16"/>
        <color rgb="FF0000FF"/>
        <rFont val="TH SarabunPSK"/>
        <family val="2"/>
      </rPr>
      <t>เหตุผลความจำเป็น</t>
    </r>
    <r>
      <rPr>
        <sz val="16"/>
        <color rgb="FF0000FF"/>
        <rFont val="TH SarabunPSK"/>
        <family val="2"/>
      </rPr>
      <t xml:space="preserve">
   การประชุมตามข้อตกลงพันธะสัญญาที่ประเทศไทยเป็นรัฐภาคีกรอบอนุสัญญาว่าด้วยการควบคุมยาสูบขององค์การอนามัยโลก ประเทศไทยเป็น Partner ในการประชุมยกร่างแนวปฏิบัติข้อ 17 และ 18 เกี่ยวกับเรื่องการสนับสนุนกิจกรรมทางเลือกที่มีความเป็นไปได้ในทางเศรษฐกิจและการคุ้มครองสิ่งแวดล้อมและสุขภาพของบุคคล และได้ดำเนินการต่อเนื่องมาแล้ว 2 ครั้ง แต่แนวปฏิบัติดังกล่าวยังไม่เสร็จสมบูรณ์ จึงจะมีการจัดประชุมคณะทำงานเพื่อดำเนินการต่อ
</t>
    </r>
    <r>
      <rPr>
        <b/>
        <u/>
        <sz val="16"/>
        <color rgb="FF0000FF"/>
        <rFont val="TH SarabunPSK"/>
        <family val="2"/>
      </rPr>
      <t>วัตถุประสงค์</t>
    </r>
    <r>
      <rPr>
        <sz val="16"/>
        <color rgb="FF0000FF"/>
        <rFont val="TH SarabunPSK"/>
        <family val="2"/>
      </rPr>
      <t xml:space="preserve">
    เพื่อเข้าร่วมการประชุมคณะทำงานจัดทำแนวปฏิบัติขององค์การอนามัยโลกข้อ 17 และ 18 ตามกรอบอนุสัญญาว่าด้วยการควบคุมยาสูบขององค์การอนามัยโลก
</t>
    </r>
    <r>
      <rPr>
        <b/>
        <u/>
        <sz val="16"/>
        <color rgb="FF0000FF"/>
        <rFont val="TH SarabunPSK"/>
        <family val="2"/>
      </rPr>
      <t>ผลประโยชน์ที่จะได้รับ</t>
    </r>
    <r>
      <rPr>
        <sz val="16"/>
        <color rgb="FF0000FF"/>
        <rFont val="TH SarabunPSK"/>
        <family val="2"/>
      </rPr>
      <t xml:space="preserve">
    ร่วมเป็นคณะทำงานจัดทำแนวทางปฏิบัติข้อ 17 และ 18 และได้รับทราบประเด็นปัญหา ข้อเสนอแนะ และแนวทางการดำเนินงานของแต่ละประเทศ รวมทั้งได้เข้าร่วมแสดงความคิดเห็นในส่วนของประเทศไทย</t>
    </r>
  </si>
  <si>
    <t xml:space="preserve">1. ผู้อำนวยการ/ เจ้าหน้าที่สำนักควบคุมการบริโภคยาสูบ
  - นำเสนอผลงานวิชาการด้านการควบคุมยาสูบของสำนักควบคุมการบริโภคยาสูบ
</t>
  </si>
  <si>
    <t>2. นักวิชาการสาธารณสุข ของสำนักงานป้องกันควบคุมโรค
  - นำเสนอผลงานวิชาการด้านการควบคุมยาสูบของต้นสังกัด</t>
  </si>
  <si>
    <r>
      <rPr>
        <b/>
        <u/>
        <sz val="16"/>
        <color rgb="FF0000FF"/>
        <rFont val="TH SarabunPSK"/>
        <family val="2"/>
      </rPr>
      <t>เหตุผลความจำเป็น</t>
    </r>
    <r>
      <rPr>
        <sz val="16"/>
        <color rgb="FF0000FF"/>
        <rFont val="TH SarabunPSK"/>
        <family val="2"/>
      </rPr>
      <t xml:space="preserve">
    การประชุมตามข้อตกลงพันธะสัญญาที่ประเทศไทยเป็นรัฐภาคีกรอบอนุสัญญาว่าด้วยการควบคุมยาสูบขององค์การอนามัยโลก  และเข้าร่วมยกร่างแนวปฏิบัติเพื่อให้สอดคล้องกับกรอบอนุสัญญาฯ ตามข้อ 9 และ 10 ขององค์การอนามัยโลกเกี่ยวกับการเปิดเผยรายละเอียดส่วนประกอบสารพิษและสารเคมีที่อยู่ในควันบุหรี่ และการเปิดเผยข้อมูลสู่สาธารณะ ซึ่งในเรื่องนี้มีผลกระทบในเชิงนโยบายและการออกกฎหมายในการกำกับดูแลของสำนักควบคุมการบริโภคยาสูบ ได้แก่ พระราชบัญญัติควบคุมผลิตภัณฑ์ยาสูบ พ.ศ. 2535
</t>
    </r>
    <r>
      <rPr>
        <b/>
        <u/>
        <sz val="16"/>
        <color rgb="FF0000FF"/>
        <rFont val="TH SarabunPSK"/>
        <family val="2"/>
      </rPr>
      <t>วัตถุประสงค์</t>
    </r>
    <r>
      <rPr>
        <sz val="16"/>
        <color rgb="FF0000FF"/>
        <rFont val="TH SarabunPSK"/>
        <family val="2"/>
      </rPr>
      <t xml:space="preserve">
    เพื่อเข้าร่วมการประชุมคณะทำงานจัดทำแนวปฏิบัติขององค์การอนามัยโลกข้อ 9&amp;10 ตามกรอบอนุสัญญาว่าด้วยการควบคุมยาสูบขององค์การอนามัยโลก
</t>
    </r>
    <r>
      <rPr>
        <b/>
        <u/>
        <sz val="16"/>
        <color rgb="FF0000FF"/>
        <rFont val="TH SarabunPSK"/>
        <family val="2"/>
      </rPr>
      <t>ผลประโยชน์ที่จะได้รับ</t>
    </r>
    <r>
      <rPr>
        <sz val="16"/>
        <color rgb="FF0000FF"/>
        <rFont val="TH SarabunPSK"/>
        <family val="2"/>
      </rPr>
      <t xml:space="preserve">
   ร่วมเป็นคณะทำงานจัดทำแนวทางปฏิบัติข้อ 9 และ 10 และได้รับทราบประเด็นปัญหา ข้อเสนอแนะ และแนวทางการดำเนินงานของแต่ละประเทศ รวมทั้งได้เข้าร่วมแสดงความคิดเห็นตามบริบทของประเทศไทย</t>
    </r>
  </si>
  <si>
    <t>สำนักโรคไม่ติดต่อ</t>
  </si>
  <si>
    <t>1.ประเทศนิวซีแลนด์ (เมืองเวลลิงตัน)  
2. วันที่ 30 กันยายน - 6 ตุลาคม 2555
3. ระยะเวลาการเดินทางทั้งสิ้น 7 วัน</t>
  </si>
  <si>
    <r>
      <rPr>
        <b/>
        <u/>
        <sz val="16"/>
        <color rgb="FF0000FF"/>
        <rFont val="TH SarabunPSK"/>
        <family val="2"/>
      </rPr>
      <t>เหตุผลความจำเป็น</t>
    </r>
    <r>
      <rPr>
        <sz val="16"/>
        <color rgb="FF0000FF"/>
        <rFont val="TH SarabunPSK"/>
        <family val="2"/>
      </rPr>
      <t xml:space="preserve">
   เพื่อเป็นการเผยแพร่ผลงานวิชาการของประเทศไทย และเป็นการสร้างชื่อเสียงให้กับหน่วยงาน โดยจะมีการประชุมทุกๆ 2 ปี ซึ่งการประชุมนี้ประกอบด้วยผู้เข้าร่วมประชุมตั้งแต่ผู้บริหาร นักวิชาการ และผู้เกี่ยวข้องจากทั่วโลก
</t>
    </r>
    <r>
      <rPr>
        <b/>
        <u/>
        <sz val="16"/>
        <color rgb="FF0000FF"/>
        <rFont val="TH SarabunPSK"/>
        <family val="2"/>
      </rPr>
      <t>วัตถุประสงค์</t>
    </r>
    <r>
      <rPr>
        <sz val="16"/>
        <color rgb="FF0000FF"/>
        <rFont val="TH SarabunPSK"/>
        <family val="2"/>
      </rPr>
      <t xml:space="preserve">
   เพื่อนำเสนอผลงานวิชาการและแลกเปลี่ยนประสบการณ์ในการดำเนินงานป้องกันการบาดเจ็บ
</t>
    </r>
    <r>
      <rPr>
        <b/>
        <u/>
        <sz val="16"/>
        <color rgb="FF0000FF"/>
        <rFont val="TH SarabunPSK"/>
        <family val="2"/>
      </rPr>
      <t>ผลประโยชน์ที่จะได้รับ</t>
    </r>
    <r>
      <rPr>
        <sz val="16"/>
        <color rgb="FF0000FF"/>
        <rFont val="TH SarabunPSK"/>
        <family val="2"/>
      </rPr>
      <t xml:space="preserve">
   เป็นการเผยแพร่ผลงานวิชาการขององค์กร/ประเทศให้เป็นที่รู้จักและยอมรับในระดับนานาชาติ รวมทั้งการนำความรู้และประสบการณ์ที่ได้รับมาปรับใช้ให้เกิดประโยชน์แก่องค์กร/ประเทศ ได้อย่างมีประสิทธิภาพ</t>
    </r>
  </si>
  <si>
    <t>นักวิชาการสาธารณสุขของสำนักโรคไม่ติดต่อ (ที่ได้รับการยอมรับให้ไปนำเสนอผลงานวิชาการ)</t>
  </si>
  <si>
    <r>
      <rPr>
        <b/>
        <u/>
        <sz val="16"/>
        <color rgb="FF0000FF"/>
        <rFont val="TH SarabunPSK"/>
        <family val="2"/>
      </rPr>
      <t>เหตุผลความจำเป็น</t>
    </r>
    <r>
      <rPr>
        <sz val="16"/>
        <color rgb="FF0000FF"/>
        <rFont val="TH SarabunPSK"/>
        <family val="2"/>
      </rPr>
      <t xml:space="preserve">
   การประชุมเพื่อเสนอผลงานด้านการควบคุมยาสูบ เปิดโอกาสให้นักวิชาการที่ปฏิบัติงานด้านการควบคุมยาสูบในสังกัดกรมควบคุมโรคได้มีโอกาสนำเสนอผลงานวิชาการในระดับนานาชาติ 
</t>
    </r>
    <r>
      <rPr>
        <b/>
        <u/>
        <sz val="16"/>
        <color rgb="FF0000FF"/>
        <rFont val="TH SarabunPSK"/>
        <family val="2"/>
      </rPr>
      <t>วัตถุประสงค์</t>
    </r>
    <r>
      <rPr>
        <sz val="16"/>
        <color rgb="FF0000FF"/>
        <rFont val="TH SarabunPSK"/>
        <family val="2"/>
      </rPr>
      <t xml:space="preserve">
    เพื่อพัฒนาศักยภาพนักวิชาการที่ปฏิบัติงานด้านการควบคุมยาสูบ
</t>
    </r>
    <r>
      <rPr>
        <b/>
        <u/>
        <sz val="16"/>
        <color rgb="FF0000FF"/>
        <rFont val="TH SarabunPSK"/>
        <family val="2"/>
      </rPr>
      <t>ผลประโยชน์ที่จะได้รับ</t>
    </r>
    <r>
      <rPr>
        <sz val="16"/>
        <color rgb="FF0000FF"/>
        <rFont val="TH SarabunPSK"/>
        <family val="2"/>
      </rPr>
      <t xml:space="preserve">
   ได้แลกเปลี่ยนเรียนรู้และประสบการณ์การดำเนินงานด้านการควบคุมยาสูบกับประเทศต่างๆ ทั่วโลก และสร้างเครือข่ายการดำเนินงานระดับนานาชาติ
หมายเหตุ : ค่าใช้จ่ายรายการอื่น ๆ ได้แก่ ค่าลงทะเบียน จัดทำโปสเตอร์ ค่าวีซา</t>
    </r>
  </si>
  <si>
    <t>สำนักโรคจากการประกอบอาชีพและสิ่งแวดล้อม</t>
  </si>
  <si>
    <t>การประชุมเรื่อง การพัฒนาความร่วมมือในการจัดทำ มาตรฐานวิชาการและงานด้านอาชีวอนามัย ความปลอดภัยและสิ่งแวดล้อมการทำงานในกลุ่มประเทศอาเซียน</t>
  </si>
  <si>
    <t>1. ประเทศมาเลเซีย
2. วันที่ 20 - 24 พฤศจิกายน 2554
3. ระยะเวลาการเดินทางทั้งสิ้น 5 วัน</t>
  </si>
  <si>
    <t>การประชุม เรื่อง  “11th World Conference on Injury Prevention and Safety Promotion 2012”</t>
  </si>
  <si>
    <r>
      <rPr>
        <u/>
        <sz val="16"/>
        <color rgb="FF0000FF"/>
        <rFont val="TH SarabunPSK"/>
        <family val="2"/>
      </rPr>
      <t>เหตุผลความจำเป็น</t>
    </r>
    <r>
      <rPr>
        <sz val="16"/>
        <color rgb="FF0000FF"/>
        <rFont val="TH SarabunPSK"/>
        <family val="2"/>
      </rPr>
      <t xml:space="preserve">
   การประชุมตามข้อตกลงความร่วมมือกลุ่มประเทศอาเซียนในการพัฒนามาตรฐานวิชาการด้านอาชีวอนามัยและความปลอดภัย
</t>
    </r>
    <r>
      <rPr>
        <u/>
        <sz val="16"/>
        <color rgb="FF0000FF"/>
        <rFont val="TH SarabunPSK"/>
        <family val="2"/>
      </rPr>
      <t xml:space="preserve">วัตถุประสงค์ </t>
    </r>
    <r>
      <rPr>
        <sz val="16"/>
        <color rgb="FF0000FF"/>
        <rFont val="TH SarabunPSK"/>
        <family val="2"/>
      </rPr>
      <t xml:space="preserve">
  1. เพื่อประชุมแลกเปลี่ยนข้อมูลด้านวิชาการและความก้าวหน้าการดำเนินงานอาชีวอนามัยของประเทศสมาชิก
  2. เพื่อ พิจารณาแนวทางการพัฒนางานอาชีวอนามัยและความปลอดภัยโดยใช้ความร่วมมือของประชาคมอาเซียน
  3. เพื่อกำหนดกลยุทธ์ในการสนับสนุนการดำเนินงานอาชีวอนามัยและความปลอดภัยของประเทศสมาชิก
</t>
    </r>
    <r>
      <rPr>
        <u/>
        <sz val="16"/>
        <color rgb="FF0000FF"/>
        <rFont val="TH SarabunPSK"/>
        <family val="2"/>
      </rPr>
      <t>ประโยชน์ที่คาดว่าจะได้รับ</t>
    </r>
    <r>
      <rPr>
        <sz val="16"/>
        <color rgb="FF0000FF"/>
        <rFont val="TH SarabunPSK"/>
        <family val="2"/>
      </rPr>
      <t xml:space="preserve">
  1. ศักยภาพในการดำเนินงานอาชีวอนามัยและความปลอดภัยของประเทศไทยจะมีการพัฒนาอย่างต่อเนื่อง
  2. ความเข้มแข็งของเครือข่ายประเทศสมาชิกในกลุ่มอาเซียนที่ดำเนินงานอาชีวอนามัยและความปลอดภัย
  3. สภาวะสุขภาพดีของกลุ่มผู้ประกอบอาชีพทุกอาชีพ</t>
    </r>
  </si>
  <si>
    <t xml:space="preserve">1. ผู้อำนวยการสำนักโรคจากการประกอบอาชีพและสิ่งแวดล้อม
</t>
  </si>
  <si>
    <t>2. นักวิชาการสาธารณสุขเชี่ยวชาญ</t>
  </si>
  <si>
    <t>3. นายแพทย์ชำนาญการพิเศษ</t>
  </si>
  <si>
    <t>1. ประเทศสาธารณรัฐประชาชนจีน (ณ โรงพยาบาล GDPHODPT  มณฑลกวางตุ้ง) 
2. วันที่ 10 - 17 มีนาคม 2554
3. ระยะเวลาการเดินทางทั้งสิ้น 7 วัน</t>
  </si>
  <si>
    <t xml:space="preserve">การประชุม ศึกษาดูงานและฝึกปฏิบัติงานด้านอาชีวอนามัยและความปลอดภัย และการตรวจวิเคราะห์ทางห้องปฏิบัติการ </t>
  </si>
  <si>
    <t xml:space="preserve">2. ผู้อำนวยการสำนักโรคจากการประกอบอาชีพและสิ่งแวดล้อม </t>
  </si>
  <si>
    <t>3. นักวิชาการสาธารณสุขชำนาญการพิเศษ</t>
  </si>
  <si>
    <t>4. นักวิชาการสาธารณสุขชำนาญการพิเศษสำนักโรคจากการประกอบอาชีพฯ</t>
  </si>
  <si>
    <t>5. นักวิชาการสาธารณสุขชำนาญการสำนักโรคจากการประกอบอาชีพฯ</t>
  </si>
  <si>
    <t>6. นักวิชาการสาธารณสุขปฏิบัติการ
สำนักโรคจากการประกอบอาชีพฯ</t>
  </si>
  <si>
    <t>7. นักวิทยาศาสตร์การแพทย์ชำนาญการ
สำนักโรคจากการประกอบอาชีพฯ</t>
  </si>
  <si>
    <t>8. นักวิชาการสาธารณสุขชำนาญการพิเศษ สำนักงานป้องกันควบคุมโรค</t>
  </si>
  <si>
    <t>9. นักวิชาการสาธารณสุขชำนาญการ
สำนักงานป้องกันควบคุมโรค</t>
  </si>
  <si>
    <t>10. นักวิชาการสาธารณสุขปฏิบัติการ
สำนักงานป้องกันควบคุมโรค</t>
  </si>
  <si>
    <r>
      <rPr>
        <b/>
        <u/>
        <sz val="16"/>
        <color rgb="FF0000FF"/>
        <rFont val="TH SarabunPSK"/>
        <family val="2"/>
      </rPr>
      <t>วัตถุประสงค์</t>
    </r>
    <r>
      <rPr>
        <sz val="16"/>
        <color rgb="FF0000FF"/>
        <rFont val="TH SarabunPSK"/>
        <family val="2"/>
      </rPr>
      <t xml:space="preserve">
  จัดทำหลักสูตร 3  หลักสูตร เพื่อเป็นการพัฒนาศักยภาพของบุคลากรทางการแพทย์ พยาบาล นักวิชาการสาธารณสุขนักวิทยาศาสตร์การแพทย์ 
</t>
    </r>
    <r>
      <rPr>
        <b/>
        <u/>
        <sz val="16"/>
        <color rgb="FF0000FF"/>
        <rFont val="TH SarabunPSK"/>
        <family val="2"/>
      </rPr>
      <t>กลุ่มเป้าหมาย</t>
    </r>
    <r>
      <rPr>
        <sz val="16"/>
        <color rgb="FF0000FF"/>
        <rFont val="TH SarabunPSK"/>
        <family val="2"/>
      </rPr>
      <t xml:space="preserve">    จำนวน  10   คน
1. ผู้บริหารกรมควบคุมโรค   จำนวน  1 คน
2. ผู้บริหารสำนักโรคฯ   จำนวน  2  คน
3. นักวิชาการสาธารณสุขและนักวิทยาศาสตร์การแพทย์  จำนวน 4  คน
4. นักวิชาการสาธารณสุข จากสำนักงานป้องกันควบคุมโรค จำนวน 3 คน 
</t>
    </r>
    <r>
      <rPr>
        <b/>
        <u/>
        <sz val="16"/>
        <color rgb="FF0000FF"/>
        <rFont val="TH SarabunPSK"/>
        <family val="2"/>
      </rPr>
      <t>ประโยชน์ที่คาดว่าจะได้รับ</t>
    </r>
    <r>
      <rPr>
        <sz val="16"/>
        <color rgb="FF0000FF"/>
        <rFont val="TH SarabunPSK"/>
        <family val="2"/>
      </rPr>
      <t xml:space="preserve">    
   1. มีหลักสูตร 3 หลักสูตร เพื่อพัฒนาศักยภาพของบุคคลากรของหน่วยงานได้แก่ แพทย์ พยาบาล นักวิชาการสาธารณสุข  นักวิทยาศาสตร์การแพทย์
  2. บุคลากรของหน่วยงานทั้งส่วนกลาง  ได้แก่ สำนักโรคจากการประกอบอาชีพและสิ่งแวดล้อม และ ส่วนภูมิภาค ได้แก่ สำนักงานป้องกันควบคุมโรค   ได้รับความรู้ความสามารถ ในเรื่องของอาชีวอนามัย และความปลอดภัยและด้านห้องปฏิบัติการวิเคราะห์</t>
    </r>
  </si>
  <si>
    <t>การประชุมเรื่อง “อาชีวอนามัยนานาชาติ” ของ ICOH</t>
  </si>
  <si>
    <t>1. ประเทศเม็กซิโก
2. วันที่ 16 - 24 มีนาคม 2555
3. ระยะเวลาการเดินทางทั้งสิ้น 8 วัน</t>
  </si>
  <si>
    <t>2. รองอธิบดีกรมควบคุโรค</t>
  </si>
  <si>
    <t>3. นายแพทย์ทรงคณวุฒิ</t>
  </si>
  <si>
    <t>4. ผู้อำนวยการสำนักโรคจากการประกอบอาชีพและสิ่งแวดล้อม</t>
  </si>
  <si>
    <r>
      <rPr>
        <b/>
        <u/>
        <sz val="16"/>
        <color rgb="FF0000FF"/>
        <rFont val="TH SarabunPSK"/>
        <family val="2"/>
      </rPr>
      <t>วัตถุประสงค์</t>
    </r>
    <r>
      <rPr>
        <sz val="16"/>
        <color rgb="FF0000FF"/>
        <rFont val="TH SarabunPSK"/>
        <family val="2"/>
      </rPr>
      <t xml:space="preserve">      
1. เพื่อได้รับทราบข่าวสาร ข้อมูล อันเป็นประโยชน์ต่อการพัฒนางานด้านอาชีวอนามัย
2. เพื่อได้รูปแบบการดำเนินงานที่มีการพัฒนาของประเทศสมาชิกในอันที่จะสามารถนำมาปรับปรุงให้เหมาะสมกับประเทศไทย
</t>
    </r>
    <r>
      <rPr>
        <b/>
        <u/>
        <sz val="16"/>
        <color rgb="FF0000FF"/>
        <rFont val="TH SarabunPSK"/>
        <family val="2"/>
      </rPr>
      <t>ประโยชน์ที่คาดว่าจะได้รับ</t>
    </r>
    <r>
      <rPr>
        <sz val="16"/>
        <color rgb="FF0000FF"/>
        <rFont val="TH SarabunPSK"/>
        <family val="2"/>
      </rPr>
      <t xml:space="preserve">    
1. สามารถนำข้อมูล เนื้อหาทางวิชาการที่ประเทศสมาชิกได้พัฒนาแล้ว มาปรับปรุงให้เหมาะสมกับประเทศไทย 
2. สามารถนำความรู้ที่ได้รับมาพัฒนาเป็นรูปแบบและถ่ายทอดให้หน่วยงานที่เกี่ยวข้องรับไปดำเนินการต่อ เพื่อให้เกิดประโยชน์ต่อประชาชนมากที่สุด
</t>
    </r>
  </si>
  <si>
    <t>การศึกษาดูงานสำหรับผู้บริหาร</t>
  </si>
  <si>
    <t>1. ประเทศยังไม่กำหนด (แจ้งให้ทราบภายหลัง)
2. กำหนดการแจ้งให้ทราบภายหลัง
3. ระยะเวลาการเดินทางทั้งสิ้น 5 วัน</t>
  </si>
  <si>
    <t>ศึกษาดูงานด้านการบริหารจัดการองค์กร เพื่อนำมาพัฒนาสำนักงานให้เป็นเลิศในด้านการป้องกันควบคุมโรคและภัยสุขภาพ</t>
  </si>
  <si>
    <t>2.พญ.ทัศนา  หลิวเสรี
รอง ผู้อำนวยการ สคร.10
นายแพทย์ระดับเชี่ยวชาญ</t>
  </si>
  <si>
    <t>สำนักงานป้องกันควบคุมโรคที่ 10 เชียงใหม่</t>
  </si>
  <si>
    <t>1. นพ.ทรงวุฒิ  หุตามัย
ผู้อำนวยการ สคร.10</t>
  </si>
  <si>
    <t>ส่วนราชการ : กรมควบคุมโรค กระทรวงสาธารณสุข</t>
  </si>
  <si>
    <t>สำนักโรคติดต่อทั่วไป</t>
  </si>
  <si>
    <t>การประชุม/อบรม เรื่อง   Wsava Fasava Congress</t>
  </si>
  <si>
    <t>1. ประเทศเกาหลี
2. วันที่ 13 - 18 ตุลาคม 2554
3. ระยะเวลาการเดินทางทั้งสิ้น 6 วัน</t>
  </si>
  <si>
    <t>1. นางอภิรมย์  พวงหัตถ์
นายสัตวแพทย์ชำนาญการพิเศษ</t>
  </si>
  <si>
    <t>2. นางสาววิรดา  วิริยกิจจา
นายสัตวแพทย์ปฏิบัติการ</t>
  </si>
  <si>
    <r>
      <rPr>
        <b/>
        <u/>
        <sz val="16"/>
        <color rgb="FF0000FF"/>
        <rFont val="TH SarabunPSK"/>
        <family val="2"/>
      </rPr>
      <t>เหตุผลความจำเป็น</t>
    </r>
    <r>
      <rPr>
        <sz val="16"/>
        <color rgb="FF0000FF"/>
        <rFont val="TH SarabunPSK"/>
        <family val="2"/>
      </rPr>
      <t xml:space="preserve">
1. เพื่อเพิ่มพูนองค์ความรู้โรคติดต่อในสัตว์ การบริหารจัดการองค์ความรู้ต่างๆ โรคติดต่อในสัตว์ รวมถึงโรคจากสัตว์สู่คน
2. รับทราบข้อมูล เทคโนโลยีใหม่ๆ เพื่อนำมาประยุกต์ใช้ และพัฒนาการทำงานให้มีประสิทธิภาพ และมีประโยชน์ต่อประชาชนสูงสุด</t>
    </r>
  </si>
  <si>
    <t xml:space="preserve">การเดินทางไปราชการต่างประเทศ ภายใต้โครงการพัฒนาศักยภาพบุคลากรด้านการพัฒนานโยบายการเฝ้าระวัง ป้องกัน ควบคุมโรคและภัยสุขภาพ เพื่อตอบโต้ภาวะฉุกเฉินด้านการแพทย์และสาธารณสุข </t>
  </si>
  <si>
    <t>1. ประเทศสหรัฐอเมริกา 
2. วันที่ 29 มิถุนายน 2555 - 10 กรกฎาคม 2555
3. ระยะเวลาการเดินทางทั้งสิ้น 12 วัน</t>
  </si>
  <si>
    <t>3. นายแพทย์โอภาส  การย์กวินพงศ์
นายแพทย์ 9 บริหารสาธารณสุข
ผู้อำนวยการสำนักโรคติดต่อทั่วไป</t>
  </si>
  <si>
    <t>4. นายสัตวแพทย์พรพิทักษ์  พันธ์หล้า
นายสัตวแพทย์ ชำนาญการ 
หัวหน้ากลุ่มงานข่าวกรอง ศูนย์ปฏิบัติการเตรียมพร้อมตอบโต้ภาวะฉุกเฉินด้านการแพทย์และสาธารณสุข</t>
  </si>
  <si>
    <r>
      <rPr>
        <b/>
        <u/>
        <sz val="14"/>
        <color rgb="FF0000FF"/>
        <rFont val="TH SarabunPSK"/>
        <family val="2"/>
      </rPr>
      <t>วัตถุประสงค์</t>
    </r>
    <r>
      <rPr>
        <sz val="14"/>
        <color rgb="FF0000FF"/>
        <rFont val="TH SarabunPSK"/>
        <family val="2"/>
      </rPr>
      <t xml:space="preserve">
1. เพื่อให้ผู้บริหารได้ศึกษาระบบและวิทยาการความก้าวหน้าด้านการเตรียมพร้อมตอบโต้ภาวะฉุกเฉินและระบบเฝ้าระวังป้องกันควบคุมโรคและภัยคุกคามสุขภาพของศูนย์ควบคุมโรคแห่งชาติ ประเทศสหรัฐอเมริกา และสถาบันวอเตอร์ รีด เป็นการพัฒนาแนวทางยุทธศาสตร์ที่จะต่อยอดให้เกิดแนวคิดสร้างสรรค์ในงานป้องกันควบคุมโรค โดยเฉพาะอย่างยิ่งการเตรียมความพร้อมสำหรับภาวะฉุกเฉินกรณีโรคติดต่ออุบัติใหม่และภัยคุกคามสุขภาพ (จากสารเคมีและสิ่งแวดล้อม)
2. เพื่อให้ผู้บริหารได้ศึกษาและแลกเปลี่ยนประสบการณ์กับผู้เชี่ยวชาญหรือที่ปรึกษาของศูนย์ควบคุมโรคแห่งชาติ ประเทศสหรัฐอเมริกา และสถาบันวอเตอร์ รีด โดยผ่านแผนงาน/โครงการที่ปฏิบัติจริง เพื่อนำข้อสังเกตหรือข้อเสนอแนะมาพัฒนานโยบาย เพื่อการเตรียมความพร้อมรองรับภาวะฉุกเฉินจากโรคและภัยคุกคามสุขภาพ(จากสารเคมีและสิ่งแวดล้อม)</t>
    </r>
    <r>
      <rPr>
        <b/>
        <u/>
        <sz val="14"/>
        <color rgb="FF0000FF"/>
        <rFont val="TH SarabunPSK"/>
        <family val="2"/>
      </rPr>
      <t/>
    </r>
  </si>
  <si>
    <r>
      <rPr>
        <b/>
        <u/>
        <sz val="14"/>
        <color rgb="FF0000FF"/>
        <rFont val="TH SarabunPSK"/>
        <family val="2"/>
      </rPr>
      <t>ผลประโยชน์ที่จะได้รับ</t>
    </r>
    <r>
      <rPr>
        <sz val="14"/>
        <color rgb="FF0000FF"/>
        <rFont val="TH SarabunPSK"/>
        <family val="2"/>
      </rPr>
      <t xml:space="preserve">
1. เพื่อให้ผู้บริหารกรมฯ เป็นผู้นำแนวทางวิชาการการเตรียมพร้อมตอบโต้ภาวะฉุกเฉินสำหรับวางรากฐานงานเฝ้าระวังป้องกันควบคุมโรคและการวางระบบเตือนภัยด้านสุขภาพที่ทันสมัยและมีประสิทธิภาพเพื่อการตอบโต้ภาวะฉุกเฉินด้านการแพทย์และสาธารณสุข
2. แผนงาน/โครงการด้านการเฝ้าระวังป้องกันควบคุมโรค และแผนงาน/โครงการเตรียมพร้อมรองรับภาวะฉุกเฉินของกรมฯ ได้รับการปรับปรุง ชี้แนะภายใต้มาตรฐานสากลโดยตรงจากผู้เชี่ยวชาญจาก CDC และสถาบันวอเตอร์ รีด 
3. ผู้บริหารของกรมควบคุมโรคสามารถนำความรู้และวิทยาการความก้าวหน้าจากการดูงานมาเป็นแนวทางในการให้คำปรึกษา และชี้นำให้กรมฯ นำมาประยุกต์ใช้ในงานเฝ้าระวังป้องกันควบคุมโรคและแผนเตรียมพร้อมรองรับภาวะฉุกเฉินภายใต้ความรับผิดชอบได้อย่างเหมาะสม</t>
    </r>
  </si>
  <si>
    <t xml:space="preserve">การอบรม เรื่อง Humantarian Emergency in Large Population </t>
  </si>
  <si>
    <t>1. ประเทศสหรัฐอเมริกา 
2. วันที่ 9 - 31 กรกฎาคม 2555
3. ระยะเวลาการเดินทางทั้งสิ้น 23 วัน</t>
  </si>
  <si>
    <t xml:space="preserve">นายสัตวแพทย์พรพิทักษ์  พันธ์หล้า
นายสัตวแพทย์ ชำนาญการ </t>
  </si>
  <si>
    <t>เหมาจ่าย</t>
  </si>
  <si>
    <r>
      <rPr>
        <b/>
        <u/>
        <sz val="14"/>
        <color rgb="FF0000FF"/>
        <rFont val="TH SarabunPSK"/>
        <family val="2"/>
      </rPr>
      <t>วัตถุประสงค์</t>
    </r>
    <r>
      <rPr>
        <sz val="14"/>
        <color rgb="FF0000FF"/>
        <rFont val="TH SarabunPSK"/>
        <family val="2"/>
      </rPr>
      <t xml:space="preserve">    
1. เพื่อพัฒนาศักยภาพบุคลากรในการบริหารจัดการด้านภัยพิบัติ ที่มีความเกี่ยวเนื่องกับประชากรกลุ่มใหญ่
2. เพื่อเพิ่มพูนความรู้ในการบริหารจัดการภาวะภัยพิบัติขนาดใหญ่ เพื่อนำมาซึ่งการวางแผนบริหารจัดการ สำหรับกรมควบคุมโรค
</t>
    </r>
    <r>
      <rPr>
        <b/>
        <u/>
        <sz val="14"/>
        <color rgb="FF0000FF"/>
        <rFont val="TH SarabunPSK"/>
        <family val="2"/>
      </rPr>
      <t>ผลที่คาดว่าจะได้รับ</t>
    </r>
    <r>
      <rPr>
        <sz val="14"/>
        <color rgb="FF0000FF"/>
        <rFont val="TH SarabunPSK"/>
        <family val="2"/>
      </rPr>
      <t xml:space="preserve">
1. บุคลากรสามารถนำองค์ความรู้มาดำเนินการ พัฒนาระบบบริหารจัดการด้านภัยพิบัติสำหรับกรมควบคุมโรคได้
2. บุคลากรสามารถนำความรู้และประสบการณ์จากผู้เชี่ยวชาญมาพัฒนารูปแบบการดำเนินงานสำหรับกรมควบคุมโรค</t>
    </r>
  </si>
  <si>
    <t>1. ประเทศสหรัฐอเมริกา 
2. วันที่ 31 กรกฎาคม 2555 - 15 สิงหาคม 2555
3. ระยะเวลาการเดินทางทั้งสิ้น 16 วัน</t>
  </si>
  <si>
    <t>3. แพทย์/นักวิชาการของกรมควบคุมโรค สามารถนำความรู้และวิทยาการความก้าวหน้าจากการดูงานครั้งนี้ มาประยุกต์ใช้ในงานเฝ้าระวังป้องกันควบคุมโรคและแผนเตรียมพร้อมรองรับภาวะฉุกเฉินที่รับผิดชอบได้อย่างเหมาะสม</t>
  </si>
  <si>
    <r>
      <rPr>
        <b/>
        <u/>
        <sz val="14"/>
        <color rgb="FF0000FF"/>
        <rFont val="TH SarabunPSK"/>
        <family val="2"/>
      </rPr>
      <t>วัตถุประสงค์</t>
    </r>
    <r>
      <rPr>
        <sz val="14"/>
        <color rgb="FF0000FF"/>
        <rFont val="TH SarabunPSK"/>
        <family val="2"/>
      </rPr>
      <t xml:space="preserve">
1. เพื่อให้แพทย์และนักวิชาการได้ศึกษาระบบและแนวทางการเตรียมความพร้อมและการจัดการสำหรับภาวะฉุกเฉินด้านสาธารณสุข ของศูนย์ควบคุมโรคแห่งชาติ ประเทศสหรัฐอเมริกา (CDC, USA) เป็นการพัฒนาสมรรถนะบุคลากรต่อยอดให้เกิดแนวคิดสร้างสรรค์ (Initiative) ในงานป้องกันควบคุมโรค และนำมาปรับ รวมถึงนำมาประยุกต์ใช้อย่างเหมาะสมสำหรับประเทศไทย
2. เพื่อให้แพทย์และนักวิชาการ ได้ศึกษาและแลกเปลี่ยนประสบการณ์กับผู้เชี่ยวชาญหรือที่ปรึกษา (Mentor) ของศูนย์ควบคุมโรคแห่งชาติ ประเทศสหรัฐอเมริกา (CDC, USA) รวมถึงการสร้างเครือข่ายการทำงานที่ดีอาจโดยผ่านแผนงาน/โครงการที่ปฏิบัติจริง เพื่อนำข้อสังเกตหรือข้อเสนอแนะมาปรับปรุงแก้ไข เพื่อการเตรียมความพร้อมรองรับภาวะฉุกเฉินจากโรคและภัยคุกคามสุขภาพจากมลภาวะสิ่งแวดล้อม 
ประโยชน์ที่คาดว่าจะได้รับ
1. เพื่อสร้างผู้นำทางวิชาการด้านสาธารณสุข (New Public Health Leader) สำหรับวางรากฐานงานเฝ้าระวังป้องกันควบคุมโรค และการวางระบบเตือนภัยด้านสุขภาพที่ทันสมัยอย่างมีประสิทธิภาพ 
2. แผนงาน/โครงการด้านการเฝ้าระวังป้องกันควบคุมโรค และแผนงาน/โครงการเตรียมพร้อมรองรับภาวะฉุกเฉินของหน่วยงาน ได้รับการปรับปรุงและชี้แนะภายใต้การ Coaching โดยตรงจากผู้เชี่ยวชาญ ของ CDC ที่ Atlanta ประเทศสหรัฐอเมริกา  
</t>
    </r>
  </si>
  <si>
    <t>1. นายแพทย์ ระดับ 8-9</t>
  </si>
  <si>
    <t>2. นายแพทย์ ระดับ 8-9</t>
  </si>
  <si>
    <t>3. นายแพทย์ ระดับ 8-9</t>
  </si>
  <si>
    <t>4. นายแพทย์ ระดับ 8-9</t>
  </si>
  <si>
    <t>5. นักวิชาการ ระดับ 8-9</t>
  </si>
  <si>
    <t>6. นักวิชาการ ระดับ 8-9</t>
  </si>
  <si>
    <t>7. นักวิชาการ ระดับ 8-9</t>
  </si>
  <si>
    <t>8. นักวิชาการ ระดับ 8-9</t>
  </si>
  <si>
    <t>การประชุมคณะกรรมการบริหารองค์การอนามัยโลก (Executive Board ครั้งที่ 129) พ.ศ. 2555</t>
  </si>
  <si>
    <t>กองการเจ้าหน้าที่</t>
  </si>
  <si>
    <t>1. ประเทศสวิตเซอร์แลนด์
2. ประมาณเดือนมกราคม 2555
3. ระยะเวลาการเดินทางทั้งสิ้น 11 วัน</t>
  </si>
  <si>
    <r>
      <rPr>
        <b/>
        <u/>
        <sz val="14"/>
        <color rgb="FF0000FF"/>
        <rFont val="TH SarabunPSK"/>
        <family val="2"/>
      </rPr>
      <t>เหตุผลความจำเป็น</t>
    </r>
    <r>
      <rPr>
        <sz val="14"/>
        <color rgb="FF0000FF"/>
        <rFont val="TH SarabunPSK"/>
        <family val="2"/>
      </rPr>
      <t xml:space="preserve">
   การประชุมคณะกรรมการบริหารองค์การอนามัยโลก (Executive Board ครั้งที่ 129) พ.ศ. 2555 เป็นการกำหนดแนวทางส่งเสริมสุขภาพ ป้องกันควบคุมโรคและภัยต่าง ๆ ในการดำเนินงานสาธารณสุขระหว่างประเทศ 
</t>
    </r>
    <r>
      <rPr>
        <b/>
        <u/>
        <sz val="14"/>
        <color rgb="FF0000FF"/>
        <rFont val="TH SarabunPSK"/>
        <family val="2"/>
      </rPr>
      <t>วัตถุประสงค์</t>
    </r>
    <r>
      <rPr>
        <sz val="14"/>
        <color rgb="FF0000FF"/>
        <rFont val="TH SarabunPSK"/>
        <family val="2"/>
      </rPr>
      <t xml:space="preserve">
    เพื่อนำประเด็นที่เกี่ยวข้องกับกรมควบคุมโรคมาเตรียมพร้อมสำหรับการประชุมสมัชชาอนามัยโลก
</t>
    </r>
    <r>
      <rPr>
        <b/>
        <u/>
        <sz val="14"/>
        <color rgb="FF0000FF"/>
        <rFont val="TH SarabunPSK"/>
        <family val="2"/>
      </rPr>
      <t>ผลประโยชน์ที่จะได้รับ</t>
    </r>
    <r>
      <rPr>
        <sz val="14"/>
        <color rgb="FF0000FF"/>
        <rFont val="TH SarabunPSK"/>
        <family val="2"/>
      </rPr>
      <t xml:space="preserve">
   กรมควบคุมโรคสามารถแสดงบทบาทในการกำหนดนโยบาย และดำเนินงานสาธารณสุขระหว่างประเทศในเวทีคณะกรรมการบริหารองค์การอนามัยโลกได้อย่างถูกต้อง</t>
    </r>
  </si>
  <si>
    <t>1. แพทย์/นักวิชาการ ระดับ 8 ลงมา</t>
  </si>
  <si>
    <t>2. แพทย์/นักวิชาการ ระดับ 8 ลงมา</t>
  </si>
  <si>
    <t>ข้อมูล ณ วันที่ 31 ธันวาคม 2553</t>
  </si>
  <si>
    <t>ร่าง สรุปประมาณการคำของบประมาณรายจ่ายประจำปี 2555 งบรายจ่ายอื่น (ค่าใช้จ่ายสำหรับการเดินทางไปราชการ ณ ต่างประเทศชั่วคราว)</t>
  </si>
  <si>
    <t>ลำดับที่</t>
  </si>
  <si>
    <t>ประเทศ</t>
  </si>
  <si>
    <t>จำนวนคน</t>
  </si>
  <si>
    <t>รายการค่าใช้จ่ายต่าง ๆ (บาท)</t>
  </si>
  <si>
    <t>รายชื่อ/ตำแหน่ง/ระดับ
ของผู้เดินทาง</t>
  </si>
  <si>
    <t>ค่าโดยสารเครื่องบิน</t>
  </si>
  <si>
    <t>คำชี้แจง</t>
  </si>
  <si>
    <t>ค่าเบี้ยเลี้ยง</t>
  </si>
  <si>
    <t>วันละ 
(บาท)</t>
  </si>
  <si>
    <t>จำนวน
 (วัน)</t>
  </si>
  <si>
    <t>รวมเงิน 
(บาท)</t>
  </si>
  <si>
    <t>รวมค่าใช้จ่าย</t>
  </si>
  <si>
    <t>ลำดับ</t>
  </si>
  <si>
    <t>หน่วยงาน / โครงการ / กิจกรรม</t>
  </si>
  <si>
    <t>อัตรา</t>
  </si>
  <si>
    <t>วัน</t>
  </si>
  <si>
    <t>รวม</t>
  </si>
  <si>
    <t>ค่าเบี้ยเลี้ยงเดินทาง</t>
  </si>
  <si>
    <t>ค่าเช่าที่พัก</t>
  </si>
  <si>
    <t>ค่าเครื่องแต่งตัว</t>
  </si>
  <si>
    <t>ค่าตั๋วเครื่องบิน</t>
  </si>
  <si>
    <t>ค่ารับรอง</t>
  </si>
  <si>
    <t xml:space="preserve">ค่าใช้จ่ายอื่น ๆ </t>
  </si>
  <si>
    <t>ประเทศ / ระยะเวลาการเดินทาง</t>
  </si>
  <si>
    <t xml:space="preserve">ค่าแท๊กซี่ </t>
  </si>
  <si>
    <t>สำนักโรคติดต่อนำโดยแมลง</t>
  </si>
  <si>
    <t xml:space="preserve">การประชุม/อบรม เรื่อง 7th Global Alliance to Eliminate Lymphatic Filariasis </t>
  </si>
  <si>
    <t>ค่า
ธรรมเนียมสนามบิน</t>
  </si>
  <si>
    <t>1. ประเทศยังไม่กำหนดแน่นอน (ในภูมิภาคอเมริกา)
2. ประชุมประมาณต้นเดือนมิถุนายน 2555
3. ระยะเวลาการเดินทางทั้งสิ้น 7 วัน</t>
  </si>
  <si>
    <t>คำชี้แจง 
(เหตุผลความจำเป็นและผลประโยชน์ที่จะได้รับ)</t>
  </si>
  <si>
    <t>รวมค่าใช้จ่ายทั้งสิ้น</t>
  </si>
  <si>
    <t>2. นักวิชาการสาธารณสุข</t>
  </si>
  <si>
    <t>สำนักควบคุมการบริโภคยาสูบ</t>
  </si>
  <si>
    <t>การประชุมรัฐภาคีกรอบอนุสัญญาว่าด้วยการควบคุมยาสูบขององค์การอนามัยโลก ครั้งที่ 5 (Conference of Parties : COP5)</t>
  </si>
  <si>
    <t>การประชุมบุหรี่โลก ครั้งที่ 15 (15th World Conference on Tobacco or Health)</t>
  </si>
  <si>
    <t>ค่าพาหนะและค่าใช้จ่ายอื่น ๆ</t>
  </si>
  <si>
    <t>การประชุมเจรจาร่างพิธีสารว่าด้วยเรื่องการค้าผลิตภัณฑ์ยาสูบที่ผิดกฎหมาย ครั้งที่ 6 (The sixth Session of Intergovernmental Negotiating Body on a Protocol on Illicit Trade in Tobacco Products : INB 6)</t>
  </si>
  <si>
    <t>1. สาธารณรัฐเกาหลีใต้
2. กำหนดการแจ้งให้ทราบภายหลัง
3. ระยะเวลาการเดินทางทั้งสิ้น 12 วัน</t>
  </si>
  <si>
    <t>1. สมาพันธรัฐสวิส/ประเทศรัฐภาคี (แจ้งให้ทราบภายหลัง)
2. กำหนดการแจ้งให้ทราบภายหลัง
3. ระยะเวลาการเดินทางทั้งสิ้น 6 วัน</t>
  </si>
  <si>
    <t>1. สาธารณรัฐสิงคโปร์
2. วันที่ 20 - 25 มีนาคม 2555
3. ระยะเวลาการเดินทางทั้งสิ้น 6 วัน</t>
  </si>
  <si>
    <t>1. สมาพันธรัฐสวิส/ประเทศรัฐภาคี (แจ้งให้ทราบภายหลัง)
2. กำหนดการแจ้งให้ทราบภายหลัง
3. ระยะเวลาการเดินทางทั้งสิ้น 8 วัน</t>
  </si>
  <si>
    <t>1. อธิบดีกรมควบคุมโรค</t>
  </si>
  <si>
    <r>
      <rPr>
        <b/>
        <u/>
        <sz val="16"/>
        <color rgb="FF0000FF"/>
        <rFont val="TH SarabunPSK"/>
        <family val="2"/>
      </rPr>
      <t>เหตุผลความจำเป็น</t>
    </r>
    <r>
      <rPr>
        <sz val="16"/>
        <color rgb="FF0000FF"/>
        <rFont val="TH SarabunPSK"/>
        <family val="2"/>
      </rPr>
      <t xml:space="preserve">
  การประชุมตามข้อตกลงพันธะสัญญาที่ประเทศไทยเป็นรัฐภาคีกรอบอนุสัญญาว่าด้วยการควบคุมยาสูบขององค์การอนามัยโลก  และเข้าร่วมเจรจาและลงนามพิธีสารว่าด้วยเรื่องการค้าผลิตภัณฑ์ยาสูบที่ผิดกฎหมายขององค์การอนามัยโลก ซึ่งจะมีผลต่อการออกกฎหมายภายในประเทศหลายฉบับของประเทศไทยที่เกี่ยวข้องกับการควบคุมยาสูบ เช่น พระราชบัญญัติยาสูบ พ.ศ. 2509 ที่กำกับดูแลโดยกรมสรรพสามิต เป็นต้น
</t>
    </r>
    <r>
      <rPr>
        <b/>
        <u/>
        <sz val="16"/>
        <color rgb="FF0000FF"/>
        <rFont val="TH SarabunPSK"/>
        <family val="2"/>
      </rPr>
      <t>วัตถุประสงค์</t>
    </r>
    <r>
      <rPr>
        <sz val="16"/>
        <color rgb="FF0000FF"/>
        <rFont val="TH SarabunPSK"/>
        <family val="2"/>
      </rPr>
      <t xml:space="preserve">
  เพื่อเข้าร่วมการเจรจาและลงนามพิธีสารว่าด้วยเรื่องการค้าผลิตภัณฑ์ยาสูบที่ผิดกฎหมายขององค์การอนามัยโลก
</t>
    </r>
    <r>
      <rPr>
        <b/>
        <u/>
        <sz val="16"/>
        <color rgb="FF0000FF"/>
        <rFont val="TH SarabunPSK"/>
        <family val="2"/>
      </rPr>
      <t>ผลประโยชน์ที่จะได้รับ</t>
    </r>
    <r>
      <rPr>
        <sz val="16"/>
        <color rgb="FF0000FF"/>
        <rFont val="TH SarabunPSK"/>
        <family val="2"/>
      </rPr>
      <t xml:space="preserve">
  ร่วมเป็นคณะทำงานจัดทำร่างพิธีสารว่าด้วยเรื่องการค้าผลิตภัณฑ์ยาสูบที่ผิดกฎหมาย ตามข้อ 15 ขององค์การอนามัยโลก  และได้รับทราบประเด็นปัญหา ข้อเสนอแนะ และแนวทางการดำเนินงานของแต่ละประเทศ รวมทั้งร่วมแสดงความคิดเห็นตามบริบทของประเทศไทย</t>
    </r>
  </si>
  <si>
    <t>1. นายแพทย์วิชัย  สติมัย
ผู้อำนวยการสำนักโรคติดต่อนำโดยแมลง</t>
  </si>
  <si>
    <t>3. ผู้อำนวยการสำนักควบคุมการบริโภคยาสูบ
  - ปฏิบัติหน้าที่เลขานุการคณะผู้แทนไทย</t>
  </si>
  <si>
    <t>2. รองอธิบดีกรมควบคุมโรค/นายแพทย์ทรงคุณวุฒิกรมควบคุมโรคด้านการควบคุมยาสูบ
  - ปฏิบัติหน้าที่กำหนดท่าที วิเคราะห์ข้อมูลความเป็นไปได้ในระดับนโยบายสู่การนำปฏิบัติ</t>
  </si>
  <si>
    <t>1. อธิบดีกรมควบคุมโรค 
  - ปฏิบัติหน้าที่หัวหน้าคณะผู้แทนไทยในการเข้าร่วมประชุม</t>
  </si>
  <si>
    <t>4. นักวิชาการสาธารณสุขชำนาญการพิเศษ
  - ปฏิบัติหน้าที่ผู้ช่วยเลขานุการ รับผิดชอบจัดเตรียมข้อมูลการประชุมและการประสานในคณะผู้แทนไทย</t>
  </si>
  <si>
    <r>
      <rPr>
        <b/>
        <u/>
        <sz val="16"/>
        <color rgb="FF0000FF"/>
        <rFont val="TH SarabunPSK"/>
        <family val="2"/>
      </rPr>
      <t>เหตุผลความจำเป็น</t>
    </r>
    <r>
      <rPr>
        <sz val="16"/>
        <color rgb="FF0000FF"/>
        <rFont val="TH SarabunPSK"/>
        <family val="2"/>
      </rPr>
      <t xml:space="preserve">
    การประชุมตามข้อตกลงพันธะสัญญาที่ประเทศไทยเป็นรัฐภาคีกรอบอนุสัญญาว่าด้วยการควบคุมยาสูบขององค์การอนามัยโลก  (WHO FCTC)
</t>
    </r>
    <r>
      <rPr>
        <b/>
        <u/>
        <sz val="16"/>
        <color rgb="FF0000FF"/>
        <rFont val="TH SarabunPSK"/>
        <family val="2"/>
      </rPr>
      <t>วัตถุประสงค์</t>
    </r>
    <r>
      <rPr>
        <sz val="16"/>
        <color rgb="FF0000FF"/>
        <rFont val="TH SarabunPSK"/>
        <family val="2"/>
      </rPr>
      <t xml:space="preserve">
    เพื่อเข้าร่วมการประชุมในฐานะประเทศรัฐภาคี เพื่อรับทราบความก้าวหน้าและการเจรจาเพื่อกำหนดแนวทางการดำเนินงานควบคุมยาสูบขององค์การอนามัยโลก ซึ่งมีการจัดประชุมขึ้น 2 ปี/ครั้ง 
</t>
    </r>
    <r>
      <rPr>
        <b/>
        <u/>
        <sz val="16"/>
        <color rgb="FF0000FF"/>
        <rFont val="TH SarabunPSK"/>
        <family val="2"/>
      </rPr>
      <t>ผลประโยชน์ที่จะได้รับ</t>
    </r>
    <r>
      <rPr>
        <sz val="16"/>
        <color rgb="FF0000FF"/>
        <rFont val="TH SarabunPSK"/>
        <family val="2"/>
      </rPr>
      <t xml:space="preserve">
   เพื่อแสดงเจตนารมย์ที่จะดำเนินงานด้านการควบคุมยาสูบ ร่วมแสดงความคิดเห็น และรับทราบข้อตกลงความร่วมมือของรัฐภาคี รับทราบประเด็นปัญหา ข้อเสนอแนะ และแนวทางในการดำเนินงานควบคุมยาสูบและนำมาเป็นแนวทางการดำเนินงานในประเทศไทย</t>
    </r>
  </si>
  <si>
    <r>
      <rPr>
        <b/>
        <u/>
        <sz val="16"/>
        <color rgb="FF0000FF"/>
        <rFont val="TH SarabunPSK"/>
        <family val="2"/>
      </rPr>
      <t>เหตุผลความจำเป็น</t>
    </r>
    <r>
      <rPr>
        <sz val="16"/>
        <color rgb="FF0000FF"/>
        <rFont val="TH SarabunPSK"/>
        <family val="2"/>
      </rPr>
      <t xml:space="preserve">
ประเทศไทยเข้าร่วมโครงการกำจัดโรคเท้าช้างโลกตามพันธกิจสากลขององค์การอนามัยโลกที่จะกำจัดโรคเท้าช้างให้หมดไปจากโลกนี้ภายในปี 2020  การประชุมเป็นการประชุมในกลุ่มประเทศทั้งโลกที่เข้าร่วมโครงการ รับทราบข้อตกลง แลกเปลี่ยนความคิดเห็น ในการดำเนินงานโครงการด้วยกัน
</t>
    </r>
    <r>
      <rPr>
        <b/>
        <u/>
        <sz val="16"/>
        <color rgb="FF0000FF"/>
        <rFont val="TH SarabunPSK"/>
        <family val="2"/>
      </rPr>
      <t>วัตถุประสงค์</t>
    </r>
    <r>
      <rPr>
        <sz val="16"/>
        <color rgb="FF0000FF"/>
        <rFont val="TH SarabunPSK"/>
        <family val="2"/>
      </rPr>
      <t xml:space="preserve">
1. เพื่อเข้าร่วมประชุมระดับโลกในเรื่องโครงการกำจัดโรคเท้าช้าง
2. แลกเปลี่ยนประสบการณ์กับประเทศต่างๆในโลกในเรื่องการดำเนินโครงการกำจัดโรคเท้าช้าง
3. เสนอผลการดำเนินงานโครงการกำจัดโรคเท้าช้างชองประเทศไทย
</t>
    </r>
    <r>
      <rPr>
        <b/>
        <u/>
        <sz val="16"/>
        <color rgb="FF0000FF"/>
        <rFont val="TH SarabunPSK"/>
        <family val="2"/>
      </rPr>
      <t>ผลประโยชน์ที่จะได้รับ</t>
    </r>
    <r>
      <rPr>
        <sz val="16"/>
        <color rgb="FF0000FF"/>
        <rFont val="TH SarabunPSK"/>
        <family val="2"/>
      </rPr>
      <t xml:space="preserve">
1. รับทราบข้อตกลง ประเด็นปัญหา ข้อเสนอแนะ แนวทางในการดำเนินงานโครงการกำจัดโรคเท้าช้าง มาใช้ประโยชน์ในการดำเนินงานต่อไป
2. บุคลากรที่ทำงานด้านนี้ได้รับการพัฒนา</t>
    </r>
  </si>
  <si>
    <t>1. อธิบดีกรมควบคุมโรค
  - ปฏิบัติหน้าที่หัวหน้าคณะผู้แทนไทย</t>
  </si>
  <si>
    <t>2. ผู้อำนวยการสำนักควบคุมการบริโภคยาสูบ/นักวิชาการสาธารณสุขชำนาญการพิเศษ
  - ปฏิบัติหน้าที่ผู้แทนประเทศไทยและรับผิดชอบจัดเตรียมข้อมูลร่างพิธีสารว่าด้วยเรื่องการค้าผลิตภัณฑ์ยาสูบที่ผิดกฎหมาย</t>
  </si>
  <si>
    <t>1. ผู้อำนวยการสำนักควบคุมการบริโภคยาสูบ
  - เป็นผู้แทนประเทศไทยเข้าร่วมการประชุม</t>
  </si>
  <si>
    <t>2. นักวิชาการสาธารณสุขชำนาญการพิเศษ
  - เป็นผู้แทนประเทศไทยและรับผิดชอบกำกับติดตามการดำเนินงานตามข้อ 9&amp;10 WHO FCTC</t>
  </si>
  <si>
    <t xml:space="preserve">การประชุมคณะทำงานจัดทำแนวปฏิบัติตามกรอบอนุสัญญาว่าด้วยการควบคุมยาสูบข้อ 9 และ 10 WHO FCTC </t>
  </si>
  <si>
    <t>การประชุมคณะทำงานจัดทำแนวปฏิบัติตามกรอบอนุสัญญาว่าด้วยการควบคุมยาสูบ ข้อ 6 WHO FCTC</t>
  </si>
  <si>
    <t>การประชุมคณะทำงานจัดทำแนวปฏิบัติตามกรอบอนุสัญญาว่าด้วยการควบคุมยาสูบ ข้อ 17 และ 18 WHO FCTC</t>
  </si>
  <si>
    <t>-</t>
  </si>
  <si>
    <t>ระยะเวลา</t>
  </si>
  <si>
    <t>เรื่องประชุม/ โครงการ/ กิจกรรม</t>
  </si>
  <si>
    <t>ค่าพาหนะในต่างประเทศ</t>
  </si>
  <si>
    <t xml:space="preserve">ชื่อหน่วยงาน   สำนักงานความร่วมมือระหว่างประเทศ  กรมควบคุมโรค </t>
  </si>
  <si>
    <t>หมายเหตุ</t>
  </si>
  <si>
    <t xml:space="preserve"> -</t>
  </si>
  <si>
    <t>รวมทั้งสิ้น</t>
  </si>
  <si>
    <t>จำนวนเงิน</t>
  </si>
  <si>
    <t>รวมผลผลิตที่ 2              เป็นเงิน</t>
  </si>
  <si>
    <t>รวมผลผลิตที่ 1    เป็นเงิน</t>
  </si>
  <si>
    <t>ประเภทของโครงการ</t>
  </si>
  <si>
    <t>ประชุมปรึกษาหารือ</t>
  </si>
  <si>
    <t>ประชุม/สัมมนา</t>
  </si>
  <si>
    <t>การฝึกอบรม</t>
  </si>
  <si>
    <t>กระทรวงสาธารณสุข</t>
  </si>
  <si>
    <t>กรมควบคุมโรค</t>
  </si>
  <si>
    <t xml:space="preserve"> หน่วย : ล้านบาท (ทศนิยม 4 ตำแหน่ง)</t>
  </si>
  <si>
    <t>ยุทธศาสตร์/แผนงาน/ผลผลิต/</t>
  </si>
  <si>
    <t>งบประมาณปี 2556</t>
  </si>
  <si>
    <t>ประเภทการ</t>
  </si>
  <si>
    <t>กลุ่มประเทศ</t>
  </si>
  <si>
    <t>คำชี้แจง (เหตุผลความจำเป็น</t>
  </si>
  <si>
    <t>กิจกรรม/งบรายจ่าย/โครงการ/</t>
  </si>
  <si>
    <t>จัดสรร</t>
  </si>
  <si>
    <t>เบิกจ่าย</t>
  </si>
  <si>
    <t>ครั้ง/รุ่น</t>
  </si>
  <si>
    <t>คน</t>
  </si>
  <si>
    <t>อัตราที่ตั้ง</t>
  </si>
  <si>
    <t>รวมเงิน</t>
  </si>
  <si>
    <t>ประชุม</t>
  </si>
  <si>
    <t>(ระบุ)</t>
  </si>
  <si>
    <t>หลักสูตร/รายการ</t>
  </si>
  <si>
    <t>งบรายจ่ายอื่น</t>
  </si>
  <si>
    <t>1. โครงการประชุมคณะผู้เชี่ยวชาญด้านโรคติดต่อของอาเซียน (ASEAN Expert Group on Communicable Diseases - AEGCD)</t>
  </si>
  <si>
    <t xml:space="preserve">    - ค่าเบี้ยเลี้ยง (ระดับ 9 ขึ้นไป)</t>
  </si>
  <si>
    <t xml:space="preserve">    - ค่าเบี้ยเลี้ยง (ระดับ 8 ลงมา)</t>
  </si>
  <si>
    <t xml:space="preserve">    - ค่าที่พัก (ระดับ 9 ขึ้นไป)</t>
  </si>
  <si>
    <t xml:space="preserve">    - ค่าที่พัก (ระดับ 8 ลงมา)</t>
  </si>
  <si>
    <t xml:space="preserve">    - ค่าเครื่องแต่งกาย (ระดับ 6 ขึ้นไป)</t>
  </si>
  <si>
    <t xml:space="preserve">    - ค่าเครื่องแต่งกาย (ระดับ 5 ลงมา)</t>
  </si>
  <si>
    <t xml:space="preserve">    - ค่าลงทะเบียน</t>
  </si>
  <si>
    <t xml:space="preserve">    - ค่าพาหนะในต่างประเทศ</t>
  </si>
  <si>
    <t xml:space="preserve">2. โครงการพัฒนาเครือข่ายด้านฝึกอบรมระบาดวิทยาภาคสนาม ภายใต้กรอบอาเซียน+3 (ASEAN+3 FETN) (ปีที่ 2) </t>
  </si>
  <si>
    <t>3. โครงการประชุมคณะทำงานวิชาการอาเซียนด้านการเตรียมความพร้อมและตอบโต้การระบาดใหญ่ของโรคไข้หวัดใหญ่  (ASEAN Technical Working Group on Pandemic Preparedness and Response-ATWGPPR)</t>
  </si>
  <si>
    <t>งบประมาณปี 2555</t>
  </si>
  <si>
    <t>รายละเอียดเสนอตั้งงบประมาณปี 2557</t>
  </si>
  <si>
    <t xml:space="preserve">    - ค่าพาหนะ (ค่าเครื่องบิน+ค่าธรรมเนียม)</t>
  </si>
  <si>
    <r>
      <rPr>
        <b/>
        <sz val="12"/>
        <color rgb="FF000000"/>
        <rFont val="TH SarabunPSK"/>
        <family val="2"/>
      </rPr>
      <t>วัตถุประสงค์ :</t>
    </r>
    <r>
      <rPr>
        <u/>
        <sz val="12"/>
        <color rgb="FF000000"/>
        <rFont val="TH SarabunPSK"/>
        <family val="2"/>
      </rPr>
      <t xml:space="preserve">
</t>
    </r>
    <r>
      <rPr>
        <sz val="12"/>
        <color rgb="FF000000"/>
        <rFont val="TH SarabunPSK"/>
        <family val="2"/>
      </rPr>
      <t xml:space="preserve">   ๑. เพื่อพัฒนาศักยภาพของประเทศไทย ในการพัฒนาด้านระบาดวิทยา และการเป็นประเทศนำ (Lead country) เพื่อประสานเครือข่ายความร่วมมือทางด้านระบาดวิทยาภาคสนามกับประเทศอาเซียน +3  (จีน ญี่ปุ่น  และเกาหลี)
   ๒. เพื่อส่งเสริมความร่วมมือและความสัมพันธ์ระหว่างประเทศสมาชิกเครือข่าย ASEAN+3 FETN ในการพัฒนาศักยภาพระดับสูงของการฝึกอบรมระบาดวิทยาภาคสนามในภูมิภาคเอเชีย
   ๓. เพื่อสนับสนุนประเทศสมาชิก ASEAN+3 FETN ในการพัฒนาและปรับปรุงศักยภาพด้านระบาดวิทยาภาคสนามในประเทศของตน เพื่อสร้างความเข้มแข็งในการควบคุมและป้องกันโรคในประเทศและประเทศข้างเคียง
   ๔.เพื่อดำเนินงานตามแผนยุทธศาสตร์และแผนการดำเนินงาน 4 ปี ของ ASEAN+3 FETN (Strategic Plan and Work Plan) รวมทั้งแผนการจัดตั้งประชาคมสังคมและวัฒนธรรมอาเซียน (ASCC Blueprint)  ข้อ B5 (Improving Capability to Control Communicable Diseases)
</t>
    </r>
    <r>
      <rPr>
        <b/>
        <sz val="12"/>
        <color rgb="FF000000"/>
        <rFont val="TH SarabunPSK"/>
        <family val="2"/>
      </rPr>
      <t>กลุ่มเป้าหมาย</t>
    </r>
    <r>
      <rPr>
        <sz val="12"/>
        <color rgb="FF000000"/>
        <rFont val="TH SarabunPSK"/>
        <family val="2"/>
      </rPr>
      <t xml:space="preserve">  : แพทย์และสัตวแพทย์ผู้เชี่ยวชาญด้านระบาดวิทยาภาคสนาม ของกรมควบคุมโรค
</t>
    </r>
    <r>
      <rPr>
        <b/>
        <sz val="12"/>
        <color rgb="FF000000"/>
        <rFont val="TH SarabunPSK"/>
        <family val="2"/>
      </rPr>
      <t xml:space="preserve">ประโยชน์ที่คาดว่าจะได้รับ </t>
    </r>
    <r>
      <rPr>
        <u/>
        <sz val="12"/>
        <color rgb="FF000000"/>
        <rFont val="TH SarabunPSK"/>
        <family val="2"/>
      </rPr>
      <t xml:space="preserve">
</t>
    </r>
    <r>
      <rPr>
        <sz val="12"/>
        <color rgb="FF000000"/>
        <rFont val="TH SarabunPSK"/>
        <family val="2"/>
      </rPr>
      <t xml:space="preserve">   ๑. บุคลากรของกรมควบคุมโรคได้รับการพัฒนาศักยภาพเพื่อเป็นผู้เชี่ยวชาญในระดับนานาชาติ ซึ่งจะทำให้ประเทศไทยสามารถรักษาบทบาทนำในการดำเนินงานระบาดวิทยาของภูมิภาค 
   ๒. มีการแลกเปลี่ยนทรัพยากรร่วมกันใน ๑๓ ประเทศ ซึ่งได้แก่  เครื่องมือในการฝึกอบรมระบาดวิทยาภาคสนาม (training materials) กรณีศึกษา (case study)  หลักสูตรฝึกอบรมระยะสั้นและบุคลากร หรือผู้เชี่ยวชาญด้านระบาดวิทยาภาคสนามหลักการและเหตุผล  </t>
    </r>
  </si>
  <si>
    <r>
      <rPr>
        <b/>
        <sz val="12"/>
        <color rgb="FF000000"/>
        <rFont val="TH SarabunPSK"/>
        <family val="2"/>
      </rPr>
      <t xml:space="preserve">วัตถุประสงค์ </t>
    </r>
    <r>
      <rPr>
        <sz val="12"/>
        <color rgb="FF000000"/>
        <rFont val="TH SarabunPSK"/>
        <family val="2"/>
      </rPr>
      <t>: เพื่อประสานและสนับสนุนการดำเนินกิจกรรมการเตรียมความพร้อมรับสถานการณ์การระบาดใหญ่ของไข้หวัดใหญ่ของกลุ่มประเทศสมาชิกอาเซียน เพื่อให้สามารถรับมือกับสถานการณ์โรคได้อย่างมีประสิทธิภาพและทันต่อสถานการณ์ รวมทั้งเพื่อพัฒนาเครือข่ายความร่วมมือในการป้องกันและควบคุมโรคติดต่ออุบัติใหม่ที่สำคัญระหว่างประเทศสมาชิก</t>
    </r>
    <r>
      <rPr>
        <u/>
        <sz val="12"/>
        <color rgb="FF000000"/>
        <rFont val="TH SarabunPSK"/>
        <family val="2"/>
      </rPr>
      <t xml:space="preserve">
</t>
    </r>
    <r>
      <rPr>
        <b/>
        <sz val="12"/>
        <color rgb="FF000000"/>
        <rFont val="TH SarabunPSK"/>
        <family val="2"/>
      </rPr>
      <t xml:space="preserve">กลุ่มเป้าหมาย </t>
    </r>
    <r>
      <rPr>
        <sz val="12"/>
        <color rgb="FF000000"/>
        <rFont val="TH SarabunPSK"/>
        <family val="2"/>
      </rPr>
      <t xml:space="preserve">: แพทย์ และนักวิชาการของสำนักโรคติดต่ออุบัติใหม่ / สำนักงานป้องกันควบคุมโรค
</t>
    </r>
    <r>
      <rPr>
        <b/>
        <sz val="12"/>
        <color rgb="FF000000"/>
        <rFont val="TH SarabunPSK"/>
        <family val="2"/>
      </rPr>
      <t>ผลประโยชน์ที่ได้รับ</t>
    </r>
    <r>
      <rPr>
        <sz val="12"/>
        <color rgb="FF000000"/>
        <rFont val="TH SarabunPSK"/>
        <family val="2"/>
      </rPr>
      <t xml:space="preserve"> :  เกิดเครือข่ายความร่วมมือในการเตรียมความพร้อม และรับมือกับสถานการณ์ระบาดใหญ่ของไข้หวัดใหญ่ของกลุ่มประเทศสมาชิกอาเซียน และส่งเสริมบทบาทเชิงรุกของประเทศไทยในเวทีต่างประเทศ </t>
    </r>
  </si>
  <si>
    <r>
      <t>4. การประชุมเรื่อง 44</t>
    </r>
    <r>
      <rPr>
        <b/>
        <vertAlign val="superscript"/>
        <sz val="12"/>
        <color rgb="FF000000"/>
        <rFont val="TH SarabunPSK"/>
        <family val="2"/>
      </rPr>
      <t>rd</t>
    </r>
    <r>
      <rPr>
        <b/>
        <sz val="12"/>
        <color rgb="FF000000"/>
        <rFont val="TH SarabunPSK"/>
        <family val="2"/>
      </rPr>
      <t xml:space="preserve"> Union World Conference on Lung Health</t>
    </r>
  </si>
  <si>
    <r>
      <rPr>
        <b/>
        <sz val="11"/>
        <color rgb="FF000000"/>
        <rFont val="TH SarabunPSK"/>
        <family val="2"/>
      </rPr>
      <t xml:space="preserve">วัตถุประสงค์  
</t>
    </r>
    <r>
      <rPr>
        <sz val="11"/>
        <color rgb="FF000000"/>
        <rFont val="TH SarabunPSK"/>
        <family val="2"/>
      </rPr>
      <t xml:space="preserve">     1. เพื่อนำเสนอความก้าวหน้าในการดำเนินงานตามโครงการกำจัดโรคเท้าช้างในประเทศไทยในฐานะประเทศสมาชิกองค์การอนามัยโลก
     2. เพื่อแลกเปลี่ยนข้อมูล บทเรียน และประสบการณ์กับประเทศสมาชิกอื่นๆ และพัฒนาเครือข่ายความร่วมมือในการกำจัดโรคเท้าช้างให้หมดไปจากโลกนี้ภายในปี คศ. 2020
</t>
    </r>
    <r>
      <rPr>
        <b/>
        <sz val="11"/>
        <color rgb="FF000000"/>
        <rFont val="TH SarabunPSK"/>
        <family val="2"/>
      </rPr>
      <t xml:space="preserve">กลุ่มเป้าหมาย :  </t>
    </r>
    <r>
      <rPr>
        <sz val="11"/>
        <color rgb="FF000000"/>
        <rFont val="TH SarabunPSK"/>
        <family val="2"/>
      </rPr>
      <t>ผู้อำนวยการ/ นักวิชาการสาธารณสุขเชี่ยวชาญ 
สำนักโรคติดต่อนำโดยแมลง</t>
    </r>
    <r>
      <rPr>
        <b/>
        <sz val="11"/>
        <color rgb="FF000000"/>
        <rFont val="TH SarabunPSK"/>
        <family val="2"/>
      </rPr>
      <t xml:space="preserve">
ผลประโยชน์ที่ได้รับ
</t>
    </r>
    <r>
      <rPr>
        <sz val="11"/>
        <color rgb="FF000000"/>
        <rFont val="TH SarabunPSK"/>
        <family val="2"/>
      </rPr>
      <t xml:space="preserve">    1. ได้รับทราบข้อตกลง ประเด็นปัญหา ข้อเสนอแนะ และแนวทางในการดำเนินงานโครงการกำจัดโรคเท้าช้าง เพื่อนำมาใช้ประโยชน์ในการดำเนินงานในประเทศไทยต่อไป
   2. ประเทศไทยได้รับการสนับสนุนด้านวิชาการ และทรัพยากรในการดำเนินโครงการกำจัดโรคเท้าช้างจากองค์การอนามัยโลก 
   3. บุคลากรที่ปฏิบัติงานในโครงการกำจัดโรคเท้าช้างได้รับการพัฒนาขีดความสามารถให้สามารถดำเนินงานความร่วมมือระหว่างประเทศได้ดียิ่งขึ้น</t>
    </r>
  </si>
  <si>
    <r>
      <rPr>
        <b/>
        <sz val="11"/>
        <color rgb="FF000000"/>
        <rFont val="TH SarabunPSK"/>
        <family val="2"/>
      </rPr>
      <t xml:space="preserve">วัตถุประสงค์ :  </t>
    </r>
    <r>
      <rPr>
        <sz val="11"/>
        <color rgb="FF000000"/>
        <rFont val="TH SarabunPSK"/>
        <family val="2"/>
      </rPr>
      <t xml:space="preserve">เพื่อแลกเปลี่ยนข้อมูล ประสบการณ์ และบทเรียนกับประเทศที่มีภาระวัณโรคสูง รวมทั้งติดตามความก้าวหน้าทางวิชาการเพื่อนำมาประยุกต์ใช้ให้เหมาะสมกับประเทศไทย ตลอดจนเพื่อสร้างเครือข่ายการทำงานกับผู้เชี่ยวชาญ ผู้รับผิดชอบงานวัณโรคขององค์กรต่าง ๆ  และผู้บริหารแผนงานป้องกันควบคุมวัณโรคของนานาประเทศ  โดยเฉพาะเรื่องการบรรลุเป้าหมายสหัสวรรษ (Millennium Development Goals)  ปี 2012   การสำรวจวัณโรคระดับชาติ  และการบริหารจัดการเพื่อดูแลผู้ป่วยดื้อยาหลายขนาน เป็นต้น
</t>
    </r>
    <r>
      <rPr>
        <b/>
        <sz val="11"/>
        <color rgb="FF000000"/>
        <rFont val="TH SarabunPSK"/>
        <family val="2"/>
      </rPr>
      <t xml:space="preserve">กลุ่มเป้าหมาย :  </t>
    </r>
    <r>
      <rPr>
        <sz val="11"/>
        <color rgb="FF000000"/>
        <rFont val="TH SarabunPSK"/>
        <family val="2"/>
      </rPr>
      <t>ผู้อำนวยการ นายแพทย์/นักวิชาการสาธารณสุข สำนักวัณโรค และนายแพทย์/นักวิชาการสาธารณสุข จากสำนักงานป้องกันควบคุมโรค</t>
    </r>
    <r>
      <rPr>
        <b/>
        <sz val="11"/>
        <color rgb="FF000000"/>
        <rFont val="TH SarabunPSK"/>
        <family val="2"/>
      </rPr>
      <t xml:space="preserve">
ผลประโยชน์ที่ได้รับ: </t>
    </r>
    <r>
      <rPr>
        <sz val="11"/>
        <color rgb="FF000000"/>
        <rFont val="TH SarabunPSK"/>
        <family val="2"/>
      </rPr>
      <t>ผู้บริหารและผู้ที่ปฏิบัติงานมีความรู้ที่เป็นปัจจุบัน และสามารถถ่ายทอดให้แก่ผู้ร่วมงานภายในประเทศได้  และการควบคุมวัณโรคของประเทศดำเนินการตามหลักวิชาการสอดคล้องกับแนวทางสากล  รวมทั้งมีเครือข่ายการทำงานด้านการป้องกันควบคุมวัณโรค (Stop TB Partnership) กับนานาประเทศ ที่สามารถแลกเปลี่ยนข้อมูลและประสบการณ์การทำงานอย่างต่อเนื่อง</t>
    </r>
  </si>
  <si>
    <r>
      <t>5. การประชุมเรื่อง 10</t>
    </r>
    <r>
      <rPr>
        <b/>
        <vertAlign val="superscript"/>
        <sz val="12"/>
        <color rgb="FF000000"/>
        <rFont val="TH SarabunPSK"/>
        <family val="2"/>
      </rPr>
      <t>th</t>
    </r>
    <r>
      <rPr>
        <b/>
        <sz val="12"/>
        <color rgb="FF000000"/>
        <rFont val="TH SarabunPSK"/>
        <family val="2"/>
      </rPr>
      <t xml:space="preserve"> Meeting of the National LF Programme Managers</t>
    </r>
  </si>
  <si>
    <t>6. การประชุมเรื่อง "World Conference on Drowing Prevention 2013"</t>
  </si>
  <si>
    <r>
      <rPr>
        <b/>
        <sz val="11"/>
        <color rgb="FF000000"/>
        <rFont val="TH SarabunPSK"/>
        <family val="2"/>
      </rPr>
      <t xml:space="preserve">วัตถุประสงค์ : </t>
    </r>
    <r>
      <rPr>
        <sz val="11"/>
        <color rgb="FF000000"/>
        <rFont val="TH SarabunPSK"/>
        <family val="2"/>
      </rPr>
      <t xml:space="preserve">เพื่อแลกเปลี่ยนข้อมูล องค์ความรู้ ประสบการณ์ บทเรียน และแนวทางปฏิบัติที่ดีในการป้องกันอุบัติเหตุจมน้ำเสียชีวิตกับนานาประเทศ และนำความรู้ และแนวทาง/มาตรการที่ดีมาประยุกต์ใช้ให้เหมาะสมกับประเทศไทย
รวมทั้งเพื่อพัฒนาเครือข่ายความร่วมมือกับประเทศต่าง ๆ ที่มีความสนใจร่วมกัน ตลอดจนเพื่อพัฒนาศักยภาพของบุคคลากรในการดำเนินงานความร่วมมือระหว่างประเทศ
</t>
    </r>
    <r>
      <rPr>
        <b/>
        <sz val="11"/>
        <color rgb="FF000000"/>
        <rFont val="TH SarabunPSK"/>
        <family val="2"/>
      </rPr>
      <t>กลุ่มเป้าหมาย</t>
    </r>
    <r>
      <rPr>
        <sz val="11"/>
        <color rgb="FF000000"/>
        <rFont val="TH SarabunPSK"/>
        <family val="2"/>
      </rPr>
      <t xml:space="preserve"> :  นักวิชาการสาธารณสุขชำนาญการ/ชำนาญการพิเศษ สำนักโรคไม่ติดต่อ และนักวิชาการสาธารณสุขชำนาญการ/ชำนาญการพิเศษ สำนักงานป้องกันควบคุมโรค (ผ่านการพิจารณาจากสำนักจัดการความรู้)</t>
    </r>
    <r>
      <rPr>
        <u/>
        <sz val="11"/>
        <color rgb="FF000000"/>
        <rFont val="TH SarabunPSK"/>
        <family val="2"/>
      </rPr>
      <t xml:space="preserve">
</t>
    </r>
    <r>
      <rPr>
        <b/>
        <sz val="11"/>
        <color rgb="FF000000"/>
        <rFont val="TH SarabunPSK"/>
        <family val="2"/>
      </rPr>
      <t>ผลประโยชน์ที่ได้รับ</t>
    </r>
    <r>
      <rPr>
        <sz val="11"/>
        <color rgb="FF000000"/>
        <rFont val="TH SarabunPSK"/>
        <family val="2"/>
      </rPr>
      <t xml:space="preserve"> :  บุคลากรได้รับทราบองค์ความรู้ และแนวทางปฏิบัติที่ดี และนำมาประยุกต์ใช้ในการพัฒนาแนวทางและมาตรการในการเฝ้าระวัง และป้องกันอุบัติเหตุจากการจมน้ำของประเทศไทย และเกิดเครือข่ายความร่วมมือในการดำเนินงานป้องกันอุบัติเหตุจากการจมน้ำกับนานาประเทศ </t>
    </r>
  </si>
  <si>
    <t>7. การประชุมเรื่อง "Hand to Hand Combat Against Obesity"</t>
  </si>
  <si>
    <t>8. การประชุมเรื่อง "International Conference on NCD Behavioural Risk Factor Surveillance 2013"</t>
  </si>
  <si>
    <r>
      <t xml:space="preserve">ประเภท ก
</t>
    </r>
    <r>
      <rPr>
        <sz val="12"/>
        <color rgb="FF0000FF"/>
        <rFont val="TH SarabunPSK"/>
        <family val="2"/>
      </rPr>
      <t>(ราชอาณาจักรเดนมาร์ก)</t>
    </r>
  </si>
  <si>
    <r>
      <rPr>
        <b/>
        <sz val="11"/>
        <color rgb="FF000000"/>
        <rFont val="TH SarabunPSK"/>
        <family val="2"/>
      </rPr>
      <t xml:space="preserve">วัตถุประสงค์ :  </t>
    </r>
    <r>
      <rPr>
        <sz val="11"/>
        <color rgb="FF000000"/>
        <rFont val="TH SarabunPSK"/>
        <family val="2"/>
      </rPr>
      <t xml:space="preserve">เพื่อเสนอผลการดำเนินงานเฝ้าระวังพฤติกรรมเสี่ยงโรคไม่ติดต่อของประเทศไทยและแลกเปลี่ยนองค์ความรู้ ประสบการณ์ในการดำเนินเฝ้าระวังพฤติกรรมเสี่ยงโรคไม่ติดต่อ
</t>
    </r>
    <r>
      <rPr>
        <b/>
        <sz val="11"/>
        <color rgb="FF000000"/>
        <rFont val="TH SarabunPSK"/>
        <family val="2"/>
      </rPr>
      <t>กลุ่มเป้าหมาย</t>
    </r>
    <r>
      <rPr>
        <sz val="11"/>
        <color rgb="FF000000"/>
        <rFont val="TH SarabunPSK"/>
        <family val="2"/>
      </rPr>
      <t xml:space="preserve"> :  นักวิชาการสาธารณสุขชำนาญการ/ชำนาญการพิเศษ สำนักงานโรคไม่ติดต่อ
</t>
    </r>
    <r>
      <rPr>
        <b/>
        <sz val="11"/>
        <color rgb="FF000000"/>
        <rFont val="TH SarabunPSK"/>
        <family val="2"/>
      </rPr>
      <t xml:space="preserve">ผลประโยชน์ที่ได้รับ : </t>
    </r>
    <r>
      <rPr>
        <sz val="11"/>
        <color rgb="FF000000"/>
        <rFont val="TH SarabunPSK"/>
        <family val="2"/>
      </rPr>
      <t xml:space="preserve"> นำความรู้และประสบการณ์ที่ได้รับมาปรับใช้แก่องค์กร/ประเทศ ได้อย่างมีประสิทธิภาพ และเป็นการสร้างความร่วมมือการดำเนินงานเฝ้าระวังพฤติกรรมเสี่ยงโรคไม่ติดต่อระหว่างประเทศ </t>
    </r>
  </si>
  <si>
    <r>
      <rPr>
        <b/>
        <sz val="11"/>
        <color rgb="FF000000"/>
        <rFont val="TH SarabunPSK"/>
        <family val="2"/>
      </rPr>
      <t>วัตถุประสงค์ :</t>
    </r>
    <r>
      <rPr>
        <u/>
        <sz val="11"/>
        <color rgb="FF000000"/>
        <rFont val="TH SarabunPSK"/>
        <family val="2"/>
      </rPr>
      <t xml:space="preserve">
</t>
    </r>
    <r>
      <rPr>
        <sz val="11"/>
        <color rgb="FF000000"/>
        <rFont val="TH SarabunPSK"/>
        <family val="2"/>
      </rPr>
      <t xml:space="preserve">1)  เพื่อพัฒนาศักยภาพของบุคลากรในการดำเนินงานการปรับเปลี่ยนพฤติกรรมโดยเฉพาะภาวะอ้วน / โรคอ้วน
2) เพื่อนำความรู้ไปใช้ในการออกแบบ / วางแผนการดำเนินงานการปรับเปลี่ยนพฤติกรรมโดยเฉพาะภาวะอ้วน / โรคอ้วน ได้อย่างมีประสิทธิภาพมากขึ้น   
</t>
    </r>
    <r>
      <rPr>
        <b/>
        <sz val="11"/>
        <color rgb="FF000000"/>
        <rFont val="TH SarabunPSK"/>
        <family val="2"/>
      </rPr>
      <t xml:space="preserve">กลุ่มเป้าหมาย :  </t>
    </r>
    <r>
      <rPr>
        <sz val="11"/>
        <color rgb="FF000000"/>
        <rFont val="TH SarabunPSK"/>
        <family val="2"/>
      </rPr>
      <t>นักวิชาการสาธารณสุขชำนาญการ/ชำนาญการพิเศษ สำนักงานโรคไม่ติดต่อ</t>
    </r>
    <r>
      <rPr>
        <b/>
        <sz val="11"/>
        <color rgb="FF000000"/>
        <rFont val="TH SarabunPSK"/>
        <family val="2"/>
      </rPr>
      <t xml:space="preserve">
ผลประโยชน์ที่ได้รับ : </t>
    </r>
    <r>
      <rPr>
        <sz val="11"/>
        <color rgb="FF000000"/>
        <rFont val="TH SarabunPSK"/>
        <family val="2"/>
      </rPr>
      <t xml:space="preserve">  นำความรู้และประสบการณ์ที่ได้รับมาปรับใช้แก่องค์กร/ประเทศ ได้อย่างมีประสิทธิภาพ และเป็นการสร้างเครือข่ายความร่วมมือในการดำเนินงานป้องกันภาวะอ้วนกับนานาประเทศ</t>
    </r>
  </si>
  <si>
    <r>
      <t xml:space="preserve">ประเภท ก
</t>
    </r>
    <r>
      <rPr>
        <sz val="12"/>
        <color rgb="FF0000FF"/>
        <rFont val="TH SarabunPSK"/>
        <family val="2"/>
      </rPr>
      <t>(ประเทศออสเตรเลีย)</t>
    </r>
  </si>
  <si>
    <r>
      <t>10. การประชุม "The 45</t>
    </r>
    <r>
      <rPr>
        <b/>
        <vertAlign val="superscript"/>
        <sz val="12"/>
        <color rgb="FF000000"/>
        <rFont val="TH SarabunPSK"/>
        <family val="2"/>
      </rPr>
      <t>th</t>
    </r>
    <r>
      <rPr>
        <b/>
        <sz val="12"/>
        <color rgb="FF000000"/>
        <rFont val="TH SarabunPSK"/>
        <family val="2"/>
      </rPr>
      <t xml:space="preserve"> Asia-Pacific Academic Consortium for Public Health Conference 2013"</t>
    </r>
  </si>
  <si>
    <r>
      <rPr>
        <b/>
        <sz val="11"/>
        <color rgb="FF000000"/>
        <rFont val="TH SarabunPSK"/>
        <family val="2"/>
      </rPr>
      <t xml:space="preserve">วัตถุประสงค์ : 
 </t>
    </r>
    <r>
      <rPr>
        <sz val="11"/>
        <color rgb="FF000000"/>
        <rFont val="TH SarabunPSK"/>
        <family val="2"/>
      </rPr>
      <t xml:space="preserve">1. เพื่อนำเสนอผลงานวิชาการ  แลกเปลี่ยนความคิดเห็น การแก้ไขปัญหาการดำเนินงานเอดส์ระหว่างประเทศ ในหัวข้อทางวิชาการต่างๆ
 2.  เพื่อเผยแพร่ประสบการณ์ดำเนินงานเอดส์ของประเทศไทยในเวทีประชุมนานาชาติ 
</t>
    </r>
    <r>
      <rPr>
        <b/>
        <sz val="11"/>
        <color rgb="FF000000"/>
        <rFont val="TH SarabunPSK"/>
        <family val="2"/>
      </rPr>
      <t>กลุ่มเป้าหมาย</t>
    </r>
    <r>
      <rPr>
        <sz val="11"/>
        <color rgb="FF000000"/>
        <rFont val="TH SarabunPSK"/>
        <family val="2"/>
      </rPr>
      <t xml:space="preserve"> :  อธิบดี/ รองอธิบดี/ ผู้อำนวยการและนักวิชาการสาธารณสุข สำนักโรคเอดส์ วัณโรคและโรคติดต่อทางเพศสัมพันธ์  กรมควบคุมโรค
</t>
    </r>
    <r>
      <rPr>
        <b/>
        <sz val="11"/>
        <color rgb="FF000000"/>
        <rFont val="TH SarabunPSK"/>
        <family val="2"/>
      </rPr>
      <t xml:space="preserve">ผลประโยชน์ที่ได้รับ : </t>
    </r>
    <r>
      <rPr>
        <sz val="11"/>
        <color rgb="FF000000"/>
        <rFont val="TH SarabunPSK"/>
        <family val="2"/>
      </rPr>
      <t xml:space="preserve"> ส่งเสริมบทบาทของประเทศไทยในเวทีระหว่างประเทศและเผยแพร่ผลงานทางวิชาการ</t>
    </r>
  </si>
  <si>
    <r>
      <rPr>
        <b/>
        <sz val="11"/>
        <color rgb="FF000000"/>
        <rFont val="TH SarabunPSK"/>
        <family val="2"/>
      </rPr>
      <t xml:space="preserve">วัตถุประสงค์ :  </t>
    </r>
    <r>
      <rPr>
        <sz val="11"/>
        <color rgb="FF000000"/>
        <rFont val="TH SarabunPSK"/>
        <family val="2"/>
      </rPr>
      <t xml:space="preserve">เพื่อแลกเปลี่ยนความรู้ ข้อมูลข่าวสาร และนำเสนอผลการดำเนินการป้องกันควบคุมโรคในประเด็นที่เกี่ยวข้องของประเทศไทย รวมทั้งแลกเปลี่ยนองค์ความรู้ และประสบการณ์ในการดำเนินงานการป้องกันควบคุมโรคกับระดับภูมิภาคของประเทศต่างๆ ในเอเชียตะวันออกเฉียงใต้
</t>
    </r>
    <r>
      <rPr>
        <b/>
        <sz val="11"/>
        <color rgb="FF000000"/>
        <rFont val="TH SarabunPSK"/>
        <family val="2"/>
      </rPr>
      <t>กลุ่มเป้าหมาย</t>
    </r>
    <r>
      <rPr>
        <sz val="11"/>
        <color rgb="FF000000"/>
        <rFont val="TH SarabunPSK"/>
        <family val="2"/>
      </rPr>
      <t xml:space="preserve"> : นักวิชาการสาธารณสุขชำนาญการ/ ชำนาญการพิเศษ  สำนักงานป้องกันควบคุมโรคที่ 6 และ 10
</t>
    </r>
    <r>
      <rPr>
        <b/>
        <sz val="11"/>
        <color rgb="FF000000"/>
        <rFont val="TH SarabunPSK"/>
        <family val="2"/>
      </rPr>
      <t>ผลประโยชน์ที่ได้รับ :</t>
    </r>
    <r>
      <rPr>
        <sz val="11"/>
        <color rgb="FF000000"/>
        <rFont val="TH SarabunPSK"/>
        <family val="2"/>
      </rPr>
      <t xml:space="preserve"> การนำความรู้และประสบการณ์ที่ได้รับมาพัฒนาแนวทาง และมาตรการในการเฝ้าระวัง และป้องกันควบคุมโรคในพื้นที่ความรับผิดชอบของ สำนักงานป้องกันควบคุมโรคที่ 6 จังหวัดขอนแก่น  และมีเครือข่ายความร่วมมือในการดำเนินงานป้องกันควบคุมโรคกับ ระดับภูมิภาคของประเทศต่างๆ ในเอเชียตะวันออกเฉียงใต้</t>
    </r>
  </si>
  <si>
    <r>
      <t xml:space="preserve">ประเภท ก
</t>
    </r>
    <r>
      <rPr>
        <sz val="12"/>
        <color rgb="FF0000FF"/>
        <rFont val="TH SarabunPSK"/>
        <family val="2"/>
      </rPr>
      <t>(สาธารณรัฐประชาชนจีน)</t>
    </r>
  </si>
  <si>
    <r>
      <rPr>
        <b/>
        <sz val="11"/>
        <color rgb="FF000000"/>
        <rFont val="TH SarabunPSK"/>
        <family val="2"/>
      </rPr>
      <t xml:space="preserve">วัตถุประสงค์ : 
</t>
    </r>
    <r>
      <rPr>
        <sz val="11"/>
        <color rgb="FF000000"/>
        <rFont val="TH SarabunPSK"/>
        <family val="2"/>
      </rPr>
      <t xml:space="preserve">เพื่อแลกเปลี่ยนเรียนรู้ประสบการณ์/ผลการดำเนินงาน/วิชาการและผลการศึกษาวิจัยกับนานาประเทศ  และนำเสนอผลงานวิชาการเกี่ยวกับปัจจัยการระบาดของโรคนำโดยพาหะทั้งมิติระบาดวิทยาสังคม นิเวศวิทยา และผลการดำเนินงานเฝ้าระวังป้องกันควบคุมโรคนำโดยพาหะในประเด็นที่เกี่ยวข้องของประเทศไทย </t>
    </r>
    <r>
      <rPr>
        <b/>
        <sz val="11"/>
        <color rgb="FF000000"/>
        <rFont val="TH SarabunPSK"/>
        <family val="2"/>
      </rPr>
      <t xml:space="preserve">
กลุ่มเป้าหมาย</t>
    </r>
    <r>
      <rPr>
        <sz val="11"/>
        <color rgb="FF000000"/>
        <rFont val="TH SarabunPSK"/>
        <family val="2"/>
      </rPr>
      <t xml:space="preserve"> :  นักวิชาการสาธารณสุขชำนาญการ สำนักงานป้องกันควบคุมโรคที่ 11
</t>
    </r>
    <r>
      <rPr>
        <b/>
        <sz val="11"/>
        <color rgb="FF000000"/>
        <rFont val="TH SarabunPSK"/>
        <family val="2"/>
      </rPr>
      <t xml:space="preserve">ผลประโยชน์ที่ได้รับ : </t>
    </r>
    <r>
      <rPr>
        <sz val="11"/>
        <color rgb="FF000000"/>
        <rFont val="TH SarabunPSK"/>
        <family val="2"/>
      </rPr>
      <t xml:space="preserve">การนำความรู้และประสบการณ์ที่ได้รับมาพัฒนาแนวทาง และมาตรการในการเฝ้าระวังป้องกันควบคุมโรคนำโดยพาหะของประเทศไทย และมีเครือข่ายความร่วมมือในการดำเนินงานเฝ้าระวัง ป้องกันควบคุมโรคนำโดยพาหะกับนานาประเทศ </t>
    </r>
  </si>
  <si>
    <r>
      <rPr>
        <b/>
        <sz val="11"/>
        <color rgb="FF000000"/>
        <rFont val="TH SarabunPSK"/>
        <family val="2"/>
      </rPr>
      <t xml:space="preserve">วัตถุประสงค์ : 
   </t>
    </r>
    <r>
      <rPr>
        <sz val="11"/>
        <color rgb="FF000000"/>
        <rFont val="TH SarabunPSK"/>
        <family val="2"/>
      </rPr>
      <t xml:space="preserve">1.  เพื่อแลกเปลี่ยนข้อมูล และประสบการณ์ รวมทั้งความก้าวหน้าในการดำเนินงานตามโครงการกำจัดโรคเท้าช้าง
   2. เพื่อพัฒนาเครือข่ายการดำเนินงานโครงการกำจัดโรคเท้าช้างกับนานาประเทศ
</t>
    </r>
    <r>
      <rPr>
        <b/>
        <sz val="11"/>
        <color rgb="FF000000"/>
        <rFont val="TH SarabunPSK"/>
        <family val="2"/>
      </rPr>
      <t>กลุ่มเป้าหมาย</t>
    </r>
    <r>
      <rPr>
        <sz val="11"/>
        <color rgb="FF000000"/>
        <rFont val="TH SarabunPSK"/>
        <family val="2"/>
      </rPr>
      <t xml:space="preserve"> :  ผู้อำนวยการ.สำนักโรคติดต่อนำโดยแมลง
</t>
    </r>
    <r>
      <rPr>
        <b/>
        <sz val="11"/>
        <color rgb="FF000000"/>
        <rFont val="TH SarabunPSK"/>
        <family val="2"/>
      </rPr>
      <t xml:space="preserve">ผลประโยชน์ที่ได้รับ : 
   </t>
    </r>
    <r>
      <rPr>
        <sz val="11"/>
        <color rgb="FF000000"/>
        <rFont val="TH SarabunPSK"/>
        <family val="2"/>
      </rPr>
      <t xml:space="preserve">1. รับทราบข้อตกลง ประเด็นปัญหา ข้อเสนอแนะรวมทั้ง แนวทางในการดำเนินงานโครงการกำจัดโรคเท้าช้าง เพื่อนำมาใช้พัฒนาการดำเนินงานของประเทศต่อไป
   2. บุคลากรที่ปฏิบัติงานด้านนี้ได้รับการพัฒนาให้มีศักยภาพในการดำเนินความร่วมมือระหว่างประเทศ
</t>
    </r>
  </si>
  <si>
    <t xml:space="preserve">    - ค่าพาหนะ (ค่าเครื่องบิน+ค่าภาษีสนามบิน)</t>
  </si>
  <si>
    <t>13. การประชุมคณะกรรมการองค์การอนามัยโลก (Executive Board) ครั้งที่ 134  พ.ศ.2557</t>
  </si>
  <si>
    <t xml:space="preserve">14. การประชุมสมัชชาอนามัยโลก (WHA) สมัยที่ 67  และการประชุมเพื่อดำเนินการตามมติของการประชุมสมัชชาอนามัยโลกสมัยที่ผ่านมา </t>
  </si>
  <si>
    <t>อยู่ระหว่างดำเนินการ</t>
  </si>
  <si>
    <t xml:space="preserve">    - ค่าพาหนะในต่างประเทศ (อธิบดี/รองอธิบดี)</t>
  </si>
  <si>
    <t xml:space="preserve">    - ค่าพาหนะในต่างประเทศ (ผู้ทรงฯ)</t>
  </si>
  <si>
    <t xml:space="preserve">    - ค่าพาหนะในต่างประเทศ (แพทย์/นวก.)</t>
  </si>
  <si>
    <t>15. การประชุม ACMECS SOM และ ACMECS Summit</t>
  </si>
  <si>
    <t xml:space="preserve">16. การประชุมความร่วมมือระหว่างประเทศไทย และประเทศพม่า ในการเฝ้าระวัง ป้องกัน และควบคุมโรคติดต่อชายแดน </t>
  </si>
  <si>
    <r>
      <t xml:space="preserve">ประเภท ข
</t>
    </r>
    <r>
      <rPr>
        <sz val="12"/>
        <color rgb="FF0000FF"/>
        <rFont val="TH SarabunPSK"/>
        <family val="2"/>
      </rPr>
      <t>(สาธารณรัฐแห่งสหภาพเมียนมาร์ )</t>
    </r>
  </si>
  <si>
    <r>
      <t xml:space="preserve">ประเภท ข
</t>
    </r>
    <r>
      <rPr>
        <sz val="12"/>
        <color rgb="FF0000FF"/>
        <rFont val="TH SarabunPSK"/>
        <family val="2"/>
      </rPr>
      <t>(กรุงเนปิดอร์ สาธารณรัฐแห่งสหภาพเมียนม่าร์ )</t>
    </r>
  </si>
  <si>
    <r>
      <rPr>
        <b/>
        <sz val="12"/>
        <color rgb="FF000000"/>
        <rFont val="TH SarabunPSK"/>
        <family val="2"/>
      </rPr>
      <t xml:space="preserve">วัตถุประสงค์  
</t>
    </r>
    <r>
      <rPr>
        <sz val="12"/>
        <color rgb="FF000000"/>
        <rFont val="TH SarabunPSK"/>
        <family val="2"/>
      </rPr>
      <t xml:space="preserve">1. เพื่อมีส่วนร่วมในการกำหนดทิศทาง และควบคุมกำกับการดำเนินงานป้องกันและควบคุมโรคเอดส์ของประเทศสมาชิกอาเซียน  และการปฏิบัติงานตามแผนปฏิบัติการร่วมอาเซียน ค.ศ.2012-2015 
  2. เพื่อแลกเปลี่ยนข้อมูล ข้อคิดเห็น และร่วมกันหามาตรการ และแนวทางแก้ไขปัญหาโรคเอดส์เอดส์ในระหว่างประเทศสมาชิก 
   3. เพื่อนำเสนอข้อคิดเห็นและแนวทางที่ประเทศไทยประสบผลสำเร็จในการดำเนินงานโรคเอดส์ต่อที่ประชุม และนำองค์ความรู้ และมาตรการใหม่ๆ ที่ได้รับมาประยุกต์ใช้ในการแก้ไขปัญหาโรคเอดส์ของประเทศไทยต่อไป
</t>
    </r>
    <r>
      <rPr>
        <b/>
        <sz val="12"/>
        <color rgb="FF000000"/>
        <rFont val="TH SarabunPSK"/>
        <family val="2"/>
      </rPr>
      <t xml:space="preserve">กลุ่มเป้าหมาย </t>
    </r>
    <r>
      <rPr>
        <sz val="12"/>
        <color rgb="FF000000"/>
        <rFont val="TH SarabunPSK"/>
        <family val="2"/>
      </rPr>
      <t xml:space="preserve">: ผู้อำนวยการ และนักวิชาการสาธารณสุข ของสำนักฯ
</t>
    </r>
    <r>
      <rPr>
        <b/>
        <sz val="12"/>
        <color rgb="FF000000"/>
        <rFont val="TH SarabunPSK"/>
        <family val="2"/>
      </rPr>
      <t>ผลประโยชน์ที่ได้รับ</t>
    </r>
    <r>
      <rPr>
        <sz val="12"/>
        <color rgb="FF000000"/>
        <rFont val="TH SarabunPSK"/>
        <family val="2"/>
      </rPr>
      <t xml:space="preserve"> : มีเครือข่ายการดำเนินงานป้องกันและควบคุมโรคเอดส์ตามกรอบความร่วมมืออาเซียน และส่งเสริมบทบาทของประเทศไทยในเวทีระหว่างประเทศ รวมทั้งเพื่อนำไปสู่การเป็นประชาคมอาเซียนในปี 2015</t>
    </r>
  </si>
  <si>
    <t>17. โครงประชุมการประชุมคณะทำงานเรื่องโรคไม่ติดต่อของอาเซี่ยน  ( ASEAN  Task  Force on Non-communicable diseases - AFNCD )</t>
  </si>
  <si>
    <t>18. โครงการประชุมคณะทำงานเรื่องโรคเอดส์ระดับภูมิภาคเอเซียตะวันออกเฉียงใต้ ครั้งที่ 20</t>
  </si>
  <si>
    <t>19. การประชุมคณะทำงานในแผนการดำเนินงานด้านเอชไอวี และเอดส์ ในภูมิภาคเอเชียตะวันออกเฉียงใต้ ระยะที่ 4 (AWP IV 2011-2015)  ภายใต้คณะทำงานด้านโรคเอดส์ของอาเซียน (ASEAN Task Force on AIDS)</t>
  </si>
  <si>
    <r>
      <rPr>
        <b/>
        <sz val="12"/>
        <color rgb="FF000000"/>
        <rFont val="TH SarabunPSK"/>
        <family val="2"/>
      </rPr>
      <t xml:space="preserve">วัตถุประสงค์ : </t>
    </r>
    <r>
      <rPr>
        <sz val="12"/>
        <color rgb="FF000000"/>
        <rFont val="TH SarabunPSK"/>
        <family val="2"/>
      </rPr>
      <t xml:space="preserve"> เพื่อแลกเปลี่ยนข้อมูล องค์ความรู้ และประสบการณ์ และร่วมพัฒนามาตรการ กลวิธี และแนวทางในการป้องกันและควบคุมโรคเอดส์ที่เหมาะสมสำหรับประเทศสมาชิกและภูมิภาค รวมทั้งเพื่อสร้างเครือข่ายความร่วมมือกับประเทศสมาชิกในการแก้ไขปัญหาโรคเอดส์ร่วมกัน
</t>
    </r>
    <r>
      <rPr>
        <b/>
        <sz val="12"/>
        <color rgb="FF000000"/>
        <rFont val="TH SarabunPSK"/>
        <family val="2"/>
      </rPr>
      <t xml:space="preserve">กลุ่มเป้าหมาย </t>
    </r>
    <r>
      <rPr>
        <sz val="12"/>
        <color rgb="FF000000"/>
        <rFont val="TH SarabunPSK"/>
        <family val="2"/>
      </rPr>
      <t xml:space="preserve">: ผู้อำนวยการ และนักวิชาการสาธารณสุข ของสำนักฯ
</t>
    </r>
    <r>
      <rPr>
        <b/>
        <sz val="12"/>
        <color rgb="FF000000"/>
        <rFont val="TH SarabunPSK"/>
        <family val="2"/>
      </rPr>
      <t>ผลประโยชน์ที่ได้รับ</t>
    </r>
    <r>
      <rPr>
        <sz val="12"/>
        <color rgb="FF000000"/>
        <rFont val="TH SarabunPSK"/>
        <family val="2"/>
      </rPr>
      <t xml:space="preserve"> :  มีเครือข่ายความร่วมมือในการป้องกันและแก้ไขปัญหาโรคเอดส์ในกลุ่มประเทศสมาชิกอาเซียน และเป็นการเตรียมความพร้อมในการเข้าสู่ประชาคมอาเซียนในปี พ.ศ. 2558 รวมทั้งเป็นการพัฒนาบุคลากรให้มีประสบการณ์ และทักษะในการดำเนินงานความร่วมมือระหว่างประเทศ ตลอดจนเป็นการธำรงบทบาทการเป็นผู้นำด้านวิชาการในการแก้ไขปัญหาเอดส์</t>
    </r>
  </si>
  <si>
    <t xml:space="preserve">20. การประชุมคณะทำงานในแผนงานอนุภูมิภาคลุ่มน้ำโขง ( GMS) </t>
  </si>
  <si>
    <r>
      <rPr>
        <b/>
        <sz val="12"/>
        <color rgb="FF000000"/>
        <rFont val="TH SarabunPSK"/>
        <family val="2"/>
      </rPr>
      <t xml:space="preserve">วัตถุประสงค์ : </t>
    </r>
    <r>
      <rPr>
        <sz val="12"/>
        <color rgb="FF000000"/>
        <rFont val="TH SarabunPSK"/>
        <family val="2"/>
      </rPr>
      <t xml:space="preserve">เพื่อแลกเปลี่ยนข้อมูล องค์ความรู้ และประสบการณ์กับประเทศสมาชิกในการพัฒนามาตรการและแนวทางในการป้องกันและแก้ไขปัญหาการติดเชื้อเอชไอวีอันเนื่องมาจากการเคลื่อนย้ายประชากร รวมทั้งเพื่อปฏิบัติตามข้อตกลง  และพัฒนาเครือข่ายความร่วมมือกับประเทศในอนุภูมิภาคลุ่มแม่น้ำโขงในการป้องกันและแก้ไขปัญหาการติดเชื้อเอชไอวี  
</t>
    </r>
    <r>
      <rPr>
        <b/>
        <sz val="12"/>
        <color rgb="FF000000"/>
        <rFont val="TH SarabunPSK"/>
        <family val="2"/>
      </rPr>
      <t>กลุ่มเป้าหมาย</t>
    </r>
    <r>
      <rPr>
        <sz val="12"/>
        <color rgb="FF000000"/>
        <rFont val="TH SarabunPSK"/>
        <family val="2"/>
      </rPr>
      <t xml:space="preserve"> : นักวิชาการสาธารณสุขชำนาญการพิเศษ
สำนักโรคเอดส์ฯ
</t>
    </r>
    <r>
      <rPr>
        <b/>
        <sz val="12"/>
        <color rgb="FF000000"/>
        <rFont val="TH SarabunPSK"/>
        <family val="2"/>
      </rPr>
      <t>ผลประโยชน์ที่ได้รับ</t>
    </r>
    <r>
      <rPr>
        <sz val="12"/>
        <color rgb="FF000000"/>
        <rFont val="TH SarabunPSK"/>
        <family val="2"/>
      </rPr>
      <t xml:space="preserve"> : มีเครือข่ายความร่วมมือในการป้องกันและแก้ไขปัญหาโรคเอดส์ในกลุ่มประชากรเคลื่อนย้ายของประเทศอนุภูมิภาคลุ่มแม่น้ำโขง รวมทั้งเป็นการพัฒนาบุคลากรให้มีประสบการณ์ และทักษะในการดำเนินงานความร่วมมือระหว่างประเทศ ตลอดจนเป็นการธำรงบทบาทการเป็นผู้นำด้านวิชาการในการแก้ไขปัญหาเอดส์</t>
    </r>
  </si>
  <si>
    <t xml:space="preserve">22. การประชุมยกร่างแนวทางปฏิบัติตามกรอบอนุสัญญาว่าด้วยการควบคุมยาสูบข้อ 6  ของ WHO FCTC </t>
  </si>
  <si>
    <t>23. การประชุมยกร่างแนวทางปฏิบัติตามกรอบอนุสัญญาว่าด้วยการควบคุมยาสูบข้อ 9 และ 10  ของWHO FCTC</t>
  </si>
  <si>
    <t xml:space="preserve">24. การประชุมยกร่างแนวทางปฏิบัติตามกรอบอนุสัญญาว่าด้วยการควบคุมยาสูบข้อ 19 ของWHO FCTC </t>
  </si>
  <si>
    <t xml:space="preserve">25. การประชุมยกร่างแนวทางปฏิบัติตามกรอบอนุสัญญาว่าด้วยการควบคุมยาสูบข้อ 19 ของWHO FCTC </t>
  </si>
  <si>
    <t xml:space="preserve">26. การประชุมเชิงปฏิบัติการยกร่างนโยบายประเทศภูมิภาคอาเซียนจากการแทรกแซงโดยอุตสาหกรรมยาสูบ (Workshop on Preparation of a unified ASEAN Policy  to Protect Tobacco Control Policy from Tobacco Industry interference) </t>
  </si>
  <si>
    <t xml:space="preserve">27. การประชุมเพื่อการดำเนินงาน ASEAN Dengue Day </t>
  </si>
  <si>
    <t>28. โครงประชุม Roll Back Malaria Partnership Executive Board ครั้งที่ 26</t>
  </si>
  <si>
    <t>29. โครงการฝึกอบรม/ปฏิบัติงานด้านระบาดวิทยา ระยะสั้น 1 เดือน สำหรับแพทย์และสัตว์แพทย์ผู้เชี่ยวชาญด้านระบาดวิทยาภาคสนาม ณ ต่างประเทศ</t>
  </si>
  <si>
    <r>
      <rPr>
        <b/>
        <sz val="12"/>
        <color rgb="FF000000"/>
        <rFont val="TH SarabunPSK"/>
        <family val="2"/>
      </rPr>
      <t>วัตถุประสงค์</t>
    </r>
    <r>
      <rPr>
        <sz val="12"/>
        <color rgb="FF000000"/>
        <rFont val="TH SarabunPSK"/>
        <family val="2"/>
      </rPr>
      <t xml:space="preserve"> : เพื่อเสริมสร้างความรู้และประสบการณ์ทำงานด้านระบาดวิทยาภาคสนามในสถาบันควบคุมป้องกันโรคชั้นนำให้กับแพทย์และสัตวแพทย์ผู้เชี่ยวชาญด้านระบาดวิทยาภาคสนาม                            
</t>
    </r>
    <r>
      <rPr>
        <b/>
        <sz val="12"/>
        <color rgb="FF000000"/>
        <rFont val="TH SarabunPSK"/>
        <family val="2"/>
      </rPr>
      <t xml:space="preserve">กลุ่มเป้าหมาย </t>
    </r>
    <r>
      <rPr>
        <sz val="12"/>
        <color rgb="FF000000"/>
        <rFont val="TH SarabunPSK"/>
        <family val="2"/>
      </rPr>
      <t xml:space="preserve">:  แพทย์ชำนาญการพิเศษ และปฏิบัติการ สำนักระบาดวิทยา
</t>
    </r>
    <r>
      <rPr>
        <b/>
        <sz val="12"/>
        <color rgb="FF000000"/>
        <rFont val="TH SarabunPSK"/>
        <family val="2"/>
      </rPr>
      <t xml:space="preserve">ประโยชน์ที่คาดว่าจะได้รับ </t>
    </r>
    <r>
      <rPr>
        <sz val="12"/>
        <color rgb="FF000000"/>
        <rFont val="TH SarabunPSK"/>
        <family val="2"/>
      </rPr>
      <t xml:space="preserve">
   1.  ผู้ผ่านการฝึกอบรมแพทย์และสัตวแพทย์ผู้เชี่ยวชาญด้านระบาดวิทยาภาคสนามได้รับการยอมรับมาตรฐานความสามารถในการเป็นที่ปรึกษาและผู้นำทางวิชาการระบาดวิทยาในพื้นที่จังหวัด 
   2.  แพทย์และสัตวแพทย์ผู้เชี่ยวชาญด้านระบาดวิทยาภาคสนาม มีความรู้และประสบการณ์ทางด้านระบาดวิทยาและการควบคุมป้องกันโรคเพิ่มขึ้น
   3.  แพทย์และสัตวแพทย์ผู้เชี่ยวชาญด้านระบาดวิทยาภาคสนามได้สร้างเครือข่ายงานสาธารณสุขระหว่างประเทศร่วมกับผู้เชี่ยวชาญด้านการควบคุมโรคระดับนานาชาติ
   4.  แพทย์และสัตวแพทย์ผู้เชี่ยวชาญด้านระบาดวิทยาภาคสนามได้สร้างผลงานวิชาการที่ได้มาตรฐานระดับโลก </t>
    </r>
  </si>
  <si>
    <t xml:space="preserve">31. โครงการประชุม/อบรม เรื่อง อาชีวอนามัยในแรงงานนอกระบบของ ILO </t>
  </si>
  <si>
    <t>30. การประชุมความร่วมมือด้านอาชีวอนามัย และการป้องกันควบคุมโรค ตามข้อตกลงความร่วมมือระหว่างประเทศไทยและจีน</t>
  </si>
  <si>
    <t>วัตถุประสงค์ 
 เพื่อนำเสนอผลการดำเนินงาน และแลกเปลี่ยนเรียนรู้ระหว่างประเทศสมาชิก รวมทั้งเพื่อร่วมกันพัฒนารูปแบบการดำเนินงานป้องกันและควบคุมโรคไข้เลือดออกที่เหมาะสมกับประเทศไทย และประเทศสมาชิกในภาพรวม ตลอดจนเพื่อนำองค์ความรู้ และประสบการณ์ของประเทศสมาชิกอาเซียนมาถ่ายทอดให้องค์กรเครือข่ายในประเทศทราบและประยุกต์ใช้ดำเนินงานต่อไป
กลุ่มเป้าหมาย :  นายแพทย์ชำนาญการพิเศษและนักวิชาการสาธารณสุข
ชำนาญการของสำนักโรคติดต่อนำโดยแมลง
ประโยชน์ที่คาดว่าจะได้รับ
1. เกิดเครือข่ายความร่วมมือระหว่างประเทศสมาชิกอาเซียนในการแก้ไขปัญหาโรคไข้เลือดออกร่วมกัน 
2. บุคลากรที่รับผิดชอบงานในด้านนี้ได้รับการพัฒนาทางด้านวิชาการ และนำข้อมูลที่ได้มาพัฒนาเครือข่ายการดำเนินงานในประเทศไทย รวมทั้งเพิ่มพูนประสบการณ์การดำเนินงานในระดับนานาชาติกัประเทศสมาชิกอาเซียน ซึ่งจะนำไปสู่การเป็นประชาคมอาเซียนต่อไป</t>
  </si>
  <si>
    <t>และประโยชน์ที่คาดว่าจะได้รับ)</t>
  </si>
  <si>
    <t>วัตถุประสงค์ : เพื่อเป็นผู้แทนของประเทศไทยในการแลกเปลี่ยนข้อมูลทางวิชาการ ประสบการณ์ และข้อคิดเห็นในการป้องกันและควบคุมโรค รวมทั้งเพื่อมีส่วนร่วมในการกำหนดแผนงาน และกิจกรรมความร่วมมือในด้านโรคติดต่อในกรอบอาเซียนที่เป็นประโยชน์ต่อประเทศไทย รวมทั้งเพื่อธำรงบทบาทเชิงรุกด้านสาธารณสุขของประเทศไทยในเวทีอาเซียน
กลุ่มเป้าหมาย :  นายแพทย์ทรงคุณวุฒิฯ และนายสัตวแพทย์เชี่ยวชาญ กรมควบคุมโรค ซึ่งเป็นผู้แทนกระทรวงสาธารณสุข
ประโยชน์ที่คาดว่าจะได้รับ : เกิดการเครือข่ายความร่วมมือในการดำเนินงานด้านสาธารณสุขภายใต้กรอบความร่วมมืออาเซียน โดยเฉพาะในการแก้ไขปัญหาโรคติดต่อสำคัญของประเทศสมาชิกอย่างต่อเนื่อง เพื่อลดผลกระทบทางด้านเศรษฐกิจ และสังคมของประเทศสมาชิก และของภูมิภาคในภาพรวม</t>
  </si>
  <si>
    <t>วัตถุประสงค์ : เพื่อเสนอข้อคิดเห็น และข้อเสนอแนะต่อคณะกรรมการบริหารองค์การอนามัยโลก และนำประเด็นที่เกี่ยวข้องกับกรมควบคุมโรคมาเตรียมพร้อมสำหรับการประชุมสมัชชาอนามัยโลก รวมทั้งเพื่อพัฒนาศักยภาพของบุคลากรในการปฏิบัติงานความร่วมมือระหว่างประเทศ
กลุ่มเป้าหมาย : นายแพทย์ชำนาญการพิเศษ กรมควบคุมโรค
ประโยชน์ที่คาดว่าจะได้รับ :  เพื่อนำประเด็นที่เกี่ยวข้องกับกรมควบคุมโรค มาจัดเตรียมวาระสำหรับการประชุมสมัชชาอนามัยโลก (WHA) ที่จะจัดขึ้นในเดือนพฤษภาคม 2555 ซึ่งเป็นเวทีที่ประเทศสมาชิกจะมีส่วนร่วมกำหนดทิศทางการทำงานเพื่อป้องกันและแก้ไขปัญหาสุขภาพของประชากรโลก</t>
  </si>
  <si>
    <t>วัตถุประสงค์ : 
    1. เพื่อให้ข้อคิดเห็น/ข้อเสนอแนะ และรับทราบมติและข้อเสนอแนะของที่ประชุม เพื่อนำมาดำเนินการให้เกิดประโยชน์ต่อประเทศไทย และภูมิภาคในภาพรวม  รวมทั้งเพื่อแสวงหาเครือข่าย และความร่วมมือกับหน่วยงาน และองค์กรระหว่างประเทศ เพื่อแก้ไขปัญหาโรคติดต่อในประเทศไทยให้มีประสิทธิภาพมากขึ้นต่อไป 
    2.  เพื่อดำเนินการตามมติของการประชุมสมัชชาอนามัยโลกสมัยที่ผ่านมา เพื่อ เพื่อพิจารณา และสรุปกรอบการทำงานด้านการเฝ้าระวังระดับโลก รวมทั้งตัวชี้วัด และกลุ่มเป้าหมายสำหรับการป้องกันและควบคุมโรคไม่ติดต่อ ตลอดจนความสามารถในการประยุกต์ใช้กรอบการทำงานดังกล่าวในแต่ละบริบทของภูมิภาค และประเทศ และผ่านภาคส่วนต่าง ๆ เพื่อกำกับแนวโน้มต่าง ๆ  และเพื่อประเมินความก้าวหน้าในการดำเนินยุทธศาสตร์และแผนงานเรื่องโรคไม่ติดต่อในระดับประเทศ
กลุ่มเป้าหมาย :  อธิบดี/รองอธิบดี /ผู้ทรงคุณวุฒฺฯ/ นายแพทย์/นักวิชาการสาธารณสุขชำนาญการพิเศษ/ชำนาญการ กรมควบคุมโรค
ประโยชน์ที่คาดว่าจะได้รับ : การเข้าร่วมประชุมของผู้แทนจากประเทศไทย จะเป็นการรักษาผลประโยชน์ และสิทธิของประเทศไทยในฐานะประเทศสมาชิกขององค์การอนามัยโลก ในการพิจารณารับรองมติ และข้อเสนอแนะที่เป็นประโยชน์ต่อประเทศด้วย</t>
  </si>
  <si>
    <t>วัตถุประสงค์   เพื่อรายงานความก้าวหน้าของการดำเนินงานในสาขาสาธารณสุขภายใต้กรอบความร่วมมือ ACMECS  และเพื่อประสานงานกับประเทศสมาชิกในการดำเนินกิจกรรมต่าง ของแผนปฏิบัติงานสาขาสาธารณสุข สำหรับปี 2556-2558
กลุ่มเป้าหมาย : นายแพทย์ทรงคุณวุฒิ ฯ/ผู้อำนวยการสำนักงานความร่วมมือระหว่างประเทศ/ นักวิชาการสาธารณสุข ชำนาญการพิเศษ กรมควบคุมโรค 
ประโยชน์ที่คาดว่าจะได้รับ : เกิดการเครือข่าย และความร่วมมือในการดำเนินงานด้านสาธารณสุข ภายใต้กรอบความร่วมมือ ACMECS ในการแก้ปัญหาโรคติดต่อสำคัญของประเทศสมาชิกอย่างต่อเนื่อง เพื่อลดผลกระทบทางด้านเศรษฐกิจ และสังคมของประเทศสมาชิก และของภูมิภาคในภาพรวม</t>
  </si>
  <si>
    <t>วัตถุประสงค์ :  เพื่อแลกเปลี่ยนข้อมูลสถานการณ์โรค และติดตามผลความก้าวหน้าในการดำเนินงานที่ผ่านมา รวมทั้งเพื่อประสานการดำเนินกิจกรรมตามแผนปฏิบัติงานร่วม ฯ ให้ดำเนินไปอย่างต่อเนื่อง และเกิดผลเป็นรูปธรรม
กลุ่มเป้าหมาย :  อธิบดี/รองอธิบดี หรือนายแพทย์ทรงคุณวุฒิ/ ผู้อำนวยการสำนักระบาดวิทยา/สำนักโรคเอดส์ฯ/ สำนักวัณโรค/ สำนักโรคติดต่อนำโดยแมลง และสำนักงานความร่วมมือระหว่างประเทศ กรมควบคุมโรค
ประโยชน์ที่คาดว่าจะได้รับ  :  เกิดความร่วมมือในการเฝ้าระวัง ป้องกัน และควบคุมโรคบริเวณชายแดนของทั้งสองประเทศ ซึ่งจะช่วยลดปัญหาโรคติดต่อในกลุ่มประชากรในพื้นที่ชายแดน และข้ามเขตแดน โดยเฉพาะในกลุ่มแรงงานต่างด้าว อันจะนำมาซึ่งการลดการแพร่กระจายโรคมายังกลุ่มคนไทย</t>
  </si>
  <si>
    <t xml:space="preserve">วัตถุประสงค์  : 
   1.  เพื่อมีส่วนร่วมในการกำหนดทิศทางและควบคุมกำกับการดำเนินงานป้องกันและควบคุมโรคไม่ติดต่อของประเทศสมาชิก และเพื่อแลกเปลี่ยนข้อมูล ข้อคิดเห็น และร่วมกันหามาตรการและแนวทางในการแก้ไขปัญหาโรค ไม่ติดต่อของประเทศสมาชิก รวมทั้งเพื่อส่งเสริมเครือข่ายการดำเนินชีวิตอย่างมีสุขภาพในระหว่างประเทศสมาชิก  
   2.  เพื่อรายงานความก้าวหน้าในการดำเนินงานตาม แผนปฏิบัติการของ ASEAN Task Force on  Non-communicable diseases - AFNCD  
    3.  เพื่อนำข้อมูล ข้อคิดเห็น องค์ความรู้ที่เกี่ยวข้อง มาพัฒนางานด้านการป้องกันและควบคุมโรคไม่ติดต่อ
 กลุ่มเป้าหมาย : ผู้อำนวยการสำนักโรคไม่ติดต่อ/นายแพทย์ระดับเชี่ยวชาญ และ   นักวิชาการสาธารณสุขชำนาญการ สำนักโรคไม่ติดต่อ
ประโยชน์ที่คาดว่าจะได้รับ  :  
    1. มีเครือข่ายความร่วมมือในการดำเนินงานป้องกันและควบคุมโรคในกลุ่มประเทศสมาชิกอาเซียน
    2. มีการผลักดันนโยบายและมาตรการเกี่ยวกับการป้องกันควบคุมโรคในเวทีระดับภูมิภาคอาเซียน </t>
  </si>
  <si>
    <t>วัตถุประสงค์ :   เพื่อแลกเปลี่ยนข้อมูล องค์ความรู้ บทเรียนและประสบการณ์ในการควบคุมยาสูบกับประเทศสมาชิก รวมทั้งรายงานความก้าวหน้าในการดำเนินกิจกรรมที่ประเทศไทยรับผิดชอบ และพัฒนาเครือข่ายความร่วมมือในการผลักดันเรื่องการควบคุมยาสูบให้เป็นวาระของประเทศ และภูมิภาค
กลุ่มเป้าหมาย : รองอธิบดี  และผู้อำนวยการสำนักควบคุมการบริโภคยาสูบ
ประโยชน์ที่คาดว่าจะได้รับ
1. เครือข่ายความร่วมมือในการป้องกันและควบคุมการบริโภคยาสูบในภูมิภาคอาเซียน   
2. มีกลไกการติดตามความก้าวหน้าของการดำเนินงานตาม ASEAN Bi-Annual Workplan (2011-2012)</t>
  </si>
  <si>
    <t xml:space="preserve">วัตถุประสงค์ :  เพื่อแลกเปลี่ยนข้อมูล/ข้อคิดเห็น และข้อเสนอแนะในการจัดทำร่างแนวปฏิบัติขององค์การอนามัยโลกข้อ 9 และ10 ตามกรอบอนุสัญญาว่าด้วยการควบคุมยาสูบขององค์การอนามัยโลก  เพื่อใช้เป็นแนวทางในการควบคุมยาสูบของประเทศ และเพื่อพัฒนาเครือข่ายความร่วมมือกับนานาประเทศในการควบคุมการบริโภคยาสูบ 
กลุ่มเป้าหมาย : รองอธิบดี  และผู้อำนวยการสำนักควบคุมการบริโภคยาสูบ
ประโยชน์ที่คาดว่าจะได้รับ
1. แนวทางในการปรับปรุงร่างกฎกระทรวงฯ ว่าด้วยมาตรฐานของส่วนประกอบและการแจ้งรายการส่วนประกอบของผลิตภัณฑ์ยาสูบประเภทบุหรี่ซิกาแรต หรือบุหรี่ซิการ์ พ.ศ. ... เพื่อใช้ในการวางแผนกำหนดแนวทาง จัดทำกฎระเบียบและข้อบังคับในการเปิดเผยรายละเอียดส่วนประกอบผลิตภัณฑ์ยาสูบและสารที่ปล่อยออกมาต่อหน่วยงานรัฐและสาธารณะ
2.  มี เครือข่ายความร่วมมือกับนานาประเทศในการควบคุมการบริโภคยาสูบ </t>
  </si>
  <si>
    <t xml:space="preserve">วัตถุประสงค์ : เพื่อแลกเปลี่ยนข้อมูล/ข้อคิดเห็น และข้อเสนอแนะในการจัดทำร่างแนวปฏิบัติขององค์การอนามัยโลกข้อ 19 ตามกรอบอนุสัญญาว่าด้วยการควบคุมยาสูบขององค์การอนามัยโลก  เพื่อใช้เป็นแนวทางในการควบคุมยาสูบของประเทศ และเพื่อพัฒนาเครือข่ายความร่วมมือกับนานาประเทศในการควบคุมการบริโภคยาสูบ  
กลุ่มเป้าหมาย : รองอธิบดี  และผู้อำนวยการสำนักควบคุมการบริโภคยาสูบ
ประโยชน์ที่คาดว่าจะได้รับ
1.  ร่างแนวทางปฏิบัติสำหรับประเทศภาคีสมาชิกในการดำเนินการทางกฎหมายในการควบคุมยาสูบ 
2.  มี เครือข่ายความร่วมมือกับนานาประเทศในการควบคุมการบริโภคยาสูบ </t>
  </si>
  <si>
    <t>วัตถุประสงค์ : พื่อแลกเปลี่ยนข้อมูล/ข้อคิดเห็น และข้อเสนอแนะในการสนับสนุนการปฏิบัติตามกรอบอนุสัญญาว่าด้วยการควบคุมยาสูบ และเพื่อพัฒนาเครือข่ายความร่วมมือกับนานาประเทศ
กลุ่มเป้าหมาย : รองอธิบดี  และผู้อำนวยการสำนักควบคุมการบริโภคยาสูบ
ประโยชน์ที่คาดว่าจะได้รับ
   1.  ได้รับทราบข้อมูล และประสบการณ์เพื่อมาปรับใช้ในการดำเนินงานที่เกี่ยวข้องในประเทศไท
   2.  ยเครือข่ายความร่วมมือกับนานาประเทศในการผลักดันแนวทางการปฏิบัติตามกรอบอนุสัญญาว่าด้วยการควบคุมยาสูบ</t>
  </si>
  <si>
    <t>วัตถุประสงค์
   1. เพื่อแสดงศักยภาพของประเทศไทยในฐานะประเทศเจ้าภาพการจัดประชุมเชิงปฏิบัติการยกร่าง TOR ในการปกป้องนโยบายประเทศภูมิภาคอาเซียนจากการแทรกแซงโดยอุตสาหกรรมยาสูบ
   2. เพื่อยกร่าง TOR  การปกป้องนโยบายประเทศภูมิภาคอาเซียนจากการแทรกแซงโดยอุตสาหกรรมยาสูบ
กลุ่มเป้าหมาย : รองอธิบดี และผู้อำนวยการและเจ้าหน้าที่สำนักควบคุมการบริโภคยาสูบ
ประโยชน์ที่คาดว่าจะได้รับ
    1. การประสานความร่วมมือ และการผลักดันงานด้านการควบคุมยาสูบระดับภูมิภาคอาเซียน รวมทั้งการดำเนินงานตาม ASEAN Bi-Annual Workplan  (2013-2014) มีความก้าวหน้ามากขึ้น
    2.  มีแนวนโยบายร่วมกันของประเทศในภูมิภาคอาเซียนที่จะปกป้องนโยบายประเทศภูมิภาคอาเซียนจากการแทรกแซงโดยอุตสาหกรรมยาสูบเหตุผลความจำเป็น</t>
  </si>
  <si>
    <r>
      <rPr>
        <b/>
        <sz val="12"/>
        <color rgb="FF000000"/>
        <rFont val="TH SarabunPSK"/>
        <family val="2"/>
      </rPr>
      <t xml:space="preserve">วัตถุประสงค์ </t>
    </r>
    <r>
      <rPr>
        <u/>
        <sz val="12"/>
        <color rgb="FF000000"/>
        <rFont val="TH SarabunPSK"/>
        <family val="2"/>
      </rPr>
      <t xml:space="preserve">
</t>
    </r>
    <r>
      <rPr>
        <sz val="12"/>
        <color rgb="FF000000"/>
        <rFont val="TH SarabunPSK"/>
        <family val="2"/>
      </rPr>
      <t xml:space="preserve">1. เพื่อแลกเปลี่ยนข้อมูล องค์ความรู้ ประสบกาณ์ และแนวทางปฏิบัติที่ดี รวมทั้งรับทราบผลการดำเนินงานของประเทศสมาชิก รและร่วมพิจารณาแผนการดำเนินงานสำหรับปีต่อไป
2. เพื่อพัฒนา และเสริมสร้างเครือข่ายความร่วมมือในการดำเนินงานป้องกันควบคุมโรคมาลาเรียของประเทศในภูมิภาคเอเชียแปซิฟิค และนานาประเทศทั่วโลก ที่มีการแพร่ระบาดของโรคมาลาเรีย 
3. เพื่อพัฒนาบุคลากรให้มีศักยภาพในการดำเนินงานในกรอบความร่วมมือระหว่างประเทศ
</t>
    </r>
    <r>
      <rPr>
        <b/>
        <sz val="12"/>
        <color rgb="FF000000"/>
        <rFont val="TH SarabunPSK"/>
        <family val="2"/>
      </rPr>
      <t>กลุ่มเป้าหมาย</t>
    </r>
    <r>
      <rPr>
        <sz val="12"/>
        <color rgb="FF000000"/>
        <rFont val="TH SarabunPSK"/>
        <family val="2"/>
      </rPr>
      <t xml:space="preserve"> : อธิบดี และผู้อำนวยการสำนักโรคติดต่อนำโดยแมลง
ชำนาญการของสำนักโรคติดต่อนำโดยแมลง</t>
    </r>
    <r>
      <rPr>
        <u/>
        <sz val="12"/>
        <color rgb="FF000000"/>
        <rFont val="TH SarabunPSK"/>
        <family val="2"/>
      </rPr>
      <t xml:space="preserve">
</t>
    </r>
    <r>
      <rPr>
        <b/>
        <sz val="12"/>
        <color rgb="FF000000"/>
        <rFont val="TH SarabunPSK"/>
        <family val="2"/>
      </rPr>
      <t>ประโยชน์ที่คาดว่าจะได้รับ</t>
    </r>
    <r>
      <rPr>
        <u/>
        <sz val="12"/>
        <color rgb="FF000000"/>
        <rFont val="TH SarabunPSK"/>
        <family val="2"/>
      </rPr>
      <t xml:space="preserve">
</t>
    </r>
    <r>
      <rPr>
        <sz val="12"/>
        <color rgb="FF000000"/>
        <rFont val="TH SarabunPSK"/>
        <family val="2"/>
      </rPr>
      <t xml:space="preserve">1. รับทราบข้อมูลสถานการณ์และประสบการณ์การป้องกันควบคุมโรคมาลาเรียของนานาประเทศ และนำมาประยุกต์ใช้ในการดำเนินงานของประเทสไทย
2. เกิดความร่วมมือกันในการดำเนินงานเพื่อลดปัญหาโรคมาลาเรียระหว่างประเทศในแถบเอเชียแปซิฟิค และนานาประเทศต่าง ๆ ทั่วโลก ที่มีการระบาดของโรคมาลาเรีย </t>
    </r>
  </si>
  <si>
    <r>
      <t xml:space="preserve">วัตถุประสงค์ </t>
    </r>
    <r>
      <rPr>
        <sz val="12"/>
        <color rgb="FF000000"/>
        <rFont val="TH SarabunPSK"/>
        <family val="2"/>
      </rPr>
      <t xml:space="preserve">เพื่อพัฒนาศักยภาพของบุคลากรในด้านอาชีวอนามัย และการป้องกัน และเฝ้าระวังโรคตามที่มีข้อตกลงร่วมกัน รวมทั้งเพื่อพัฒนาความร่วมมือระหว่างสองหน่วยงาน และสองประเทศ ภายใต้กรอบความร่วมมืออาเซียน+3 
</t>
    </r>
    <r>
      <rPr>
        <b/>
        <sz val="12"/>
        <color rgb="FF000000"/>
        <rFont val="TH SarabunPSK"/>
        <family val="2"/>
      </rPr>
      <t xml:space="preserve">กลุ่มเป้าหมาย : </t>
    </r>
    <r>
      <rPr>
        <sz val="12"/>
        <color rgb="FF000000"/>
        <rFont val="TH SarabunPSK"/>
        <family val="2"/>
      </rPr>
      <t xml:space="preserve">อธิบดี / ผู้อำนวยการสำนักระบาดวิทยา, สำนักโรคจากการประกอบอาชีพและสิ่งแวดล้อม, สำนักโรคเอดส์ วัณโรคและโรคติดต่อทางเพศสัมพันธ์, สถาบันราชประชาสมาสัย
</t>
    </r>
    <r>
      <rPr>
        <b/>
        <sz val="12"/>
        <color rgb="FF000000"/>
        <rFont val="TH SarabunPSK"/>
        <family val="2"/>
      </rPr>
      <t xml:space="preserve">ประโยชน์ที่คาดว่าจะได้รับ :
  </t>
    </r>
    <r>
      <rPr>
        <sz val="12"/>
        <color rgb="FF000000"/>
        <rFont val="TH SarabunPSK"/>
        <family val="2"/>
      </rPr>
      <t xml:space="preserve">1. เครือข่ายความร่วมมือในการพัฒนาองค์ความรู้ และเทคโนโลยีในการเฝ้าระวัง และป้องกันโรคจากการประกอบอาชีพ และสิ่งแวดล้อม และโรคติดต่อต่าง ๆ   
   2. บุคลากรของหน่วยงาน ซึ่งได้แก่ แพทย์ พยาบาล นักวิชาการสาธารณสุข นักวิทยาศาสตร์การแพทย์ มีความรู้ความสามารถในด้านอาชีวอนามัย และการป้องกันควบคุมโรค ตามข้อตกลงร่วมกัน  </t>
    </r>
  </si>
  <si>
    <r>
      <t xml:space="preserve">ประเภท ก
</t>
    </r>
    <r>
      <rPr>
        <sz val="12"/>
        <color rgb="FF0000FF"/>
        <rFont val="TH SarabunPSK"/>
        <family val="2"/>
      </rPr>
      <t>(มณฑลกวางตุ้ง สาธารณรัฐประชาชนจีน)</t>
    </r>
  </si>
  <si>
    <t>ประชุม/ สัมมนา</t>
  </si>
  <si>
    <r>
      <t xml:space="preserve">ประเภท จ
</t>
    </r>
    <r>
      <rPr>
        <sz val="12"/>
        <color rgb="FF0000FF"/>
        <rFont val="TH SarabunPSK"/>
        <family val="2"/>
      </rPr>
      <t>(ประเทศสหพันธ์สาธารณรัฐเยอรมนี)</t>
    </r>
  </si>
  <si>
    <r>
      <t xml:space="preserve">ประเภท จ
</t>
    </r>
    <r>
      <rPr>
        <sz val="12"/>
        <color rgb="FF0000FF"/>
        <rFont val="TH SarabunPSK"/>
        <family val="2"/>
      </rPr>
      <t>(ประเทศ สหรัฐอเมริกา)</t>
    </r>
  </si>
  <si>
    <r>
      <t xml:space="preserve">ประเภท ง
</t>
    </r>
    <r>
      <rPr>
        <sz val="12"/>
        <color rgb="FF0000FF"/>
        <rFont val="TH SarabunPSK"/>
        <family val="2"/>
      </rPr>
      <t>(ประเทศ สมาพันธรัฐสวิส)</t>
    </r>
  </si>
  <si>
    <r>
      <t xml:space="preserve">ประเภท ง
</t>
    </r>
    <r>
      <rPr>
        <sz val="12"/>
        <color rgb="FF0000FF"/>
        <rFont val="TH SarabunPSK"/>
        <family val="2"/>
      </rPr>
      <t>(ประเทศ สมาพันธรัฐสวิส/ รัฐภาคี)</t>
    </r>
  </si>
  <si>
    <r>
      <t xml:space="preserve">ประเภท จ
</t>
    </r>
    <r>
      <rPr>
        <sz val="12"/>
        <color rgb="FF0000FF"/>
        <rFont val="TH SarabunPSK"/>
        <family val="2"/>
      </rPr>
      <t>(ประเทศสวิสเซอร์แลนด์ )</t>
    </r>
  </si>
  <si>
    <r>
      <t>ประเภท จ</t>
    </r>
    <r>
      <rPr>
        <sz val="12"/>
        <color rgb="FF0000FF"/>
        <rFont val="TH SarabunPSK"/>
        <family val="2"/>
      </rPr>
      <t xml:space="preserve">
(ประเทศสวิสเซอร์แลนด์ )</t>
    </r>
  </si>
  <si>
    <r>
      <t xml:space="preserve">ประเภท จ
</t>
    </r>
    <r>
      <rPr>
        <sz val="12"/>
        <color rgb="FF0000FF"/>
        <rFont val="TH SarabunPSK"/>
        <family val="2"/>
      </rPr>
      <t>(กรุงลอนดอน ประเทศอังกฤษ)</t>
    </r>
  </si>
  <si>
    <r>
      <t xml:space="preserve">ประเภท จ  </t>
    </r>
    <r>
      <rPr>
        <sz val="12"/>
        <color rgb="FF0000FF"/>
        <rFont val="TH SarabunPSK"/>
        <family val="2"/>
      </rPr>
      <t>(สหพันธ์สาธารณรัฐเยอรมนี)</t>
    </r>
  </si>
  <si>
    <r>
      <t xml:space="preserve">ประเภท จ
</t>
    </r>
    <r>
      <rPr>
        <sz val="12"/>
        <color rgb="FF0000FF"/>
        <rFont val="TH SarabunPSK"/>
        <family val="2"/>
      </rPr>
      <t>(สาธารณรัฐสิงคโปร์)</t>
    </r>
  </si>
  <si>
    <r>
      <t xml:space="preserve">ประเภท ง </t>
    </r>
    <r>
      <rPr>
        <sz val="12"/>
        <color rgb="FF0000FF"/>
        <rFont val="TH SarabunPSK"/>
        <family val="2"/>
      </rPr>
      <t>(สาธารณรัฐฝรั่งเศส)</t>
    </r>
  </si>
  <si>
    <r>
      <rPr>
        <b/>
        <sz val="12"/>
        <color rgb="FF000000"/>
        <rFont val="TH SarabunPSK"/>
        <family val="2"/>
      </rPr>
      <t>วัตถุประสงค์ :</t>
    </r>
    <r>
      <rPr>
        <sz val="12"/>
        <color rgb="FF000000"/>
        <rFont val="TH SarabunPSK"/>
        <family val="2"/>
      </rPr>
      <t xml:space="preserve">  เพื่อแลกเปลี่ยนข้อมูล และความรู้ ตลอดจนนำเสนอบทเรียนและประสบการณ์ของประเทศไทยในเรื่องที่เกี่ยวข้องกับอาชีวอนามัยในแรงงานนอกระบบ รวมทั้งเพื่อพัฒนาเครือข่ายความร่วมมือในการพัฒนารูปแบบและแนวทางการดำเนินงานด้านอาชีวอนามัยในแรงงานนอกระบบที่มีประสิทธิภาพ เพื่อรองรับการเคลื่อนย้ายของแรงงานข้ามชาติ อันเป็นผลมาจากการเข้าสู่ประชาคมอาเซียนในปี 2015
</t>
    </r>
    <r>
      <rPr>
        <b/>
        <sz val="12"/>
        <color rgb="FF000000"/>
        <rFont val="TH SarabunPSK"/>
        <family val="2"/>
      </rPr>
      <t>กลุ่มเป้าหมาย :</t>
    </r>
    <r>
      <rPr>
        <sz val="12"/>
        <color rgb="FF000000"/>
        <rFont val="TH SarabunPSK"/>
        <family val="2"/>
      </rPr>
      <t xml:space="preserve">  ผู้อำนวยการ/นักวิชาการจากสำนักโรคจากการประกอบอาชีพและสิ่งแวดล้อม/นักวิชาการจากสำนักงานป้องกันควบคุมโรค
</t>
    </r>
    <r>
      <rPr>
        <b/>
        <sz val="12"/>
        <color rgb="FF000000"/>
        <rFont val="TH SarabunPSK"/>
        <family val="2"/>
      </rPr>
      <t>ประโยชน์ที่คาดว่าจะได้รับ</t>
    </r>
    <r>
      <rPr>
        <sz val="12"/>
        <color rgb="FF000000"/>
        <rFont val="TH SarabunPSK"/>
        <family val="2"/>
      </rPr>
      <t xml:space="preserve">
   1. บุคลากรได้รับความรู้ที่ทันสมัย และสามารถนำไปพัฒนา และถ่ายทอดสู่เครือข่ายเพื่อการประยุกต์ใช้ในการดำเนินงานการควบคุมโรคจากการประกอบอาชีพและสิ่งแวดล้อม   
   2. ประสบการณ์ / ผลงานวิชาการได้รับการเผยแพร่สู่ระดับนานาชาติ และได้มีการแลกเปลี่ยน ให้ข้อเสนอแนะเพื่อให้เหมาะสมกับประเทศนั้นๆ
   3. บุคลากรได้รับการพัฒนาตนเองในการเข้าร่วมประชุม และการนำเสนอผลงานวิชาการในเวทีระดับนานาชาติ</t>
    </r>
  </si>
  <si>
    <t>32. การประชุม  The International Conference on Chemicals Management (ICCM)</t>
  </si>
  <si>
    <r>
      <t xml:space="preserve">ประเภท ง
</t>
    </r>
    <r>
      <rPr>
        <sz val="12"/>
        <color rgb="FF0000FF"/>
        <rFont val="TH SarabunPSK"/>
        <family val="2"/>
      </rPr>
      <t>(ประเทศสมาพันธรัฐสวิส )</t>
    </r>
  </si>
  <si>
    <r>
      <t xml:space="preserve">วัตถุประสงค์ </t>
    </r>
    <r>
      <rPr>
        <sz val="12"/>
        <color rgb="FF000000"/>
        <rFont val="TH SarabunPSK"/>
        <family val="2"/>
      </rPr>
      <t xml:space="preserve">เพื่อแลกเปลี่ยนข้อมูล และความรู้ ตลอดจนนำเสนอบทเรียนและประสบการณ์ของประเทศไทย ในเรื่องที่เกี่ยวข้องกับอาชีวอนามัยในแรงงานนอกระบบ รวมทั้งเพื่อพัฒนาเครือข่ายความร่วมมือในการพัฒนารูปแบบ และแนวทางการดำเนินงานด้านอาชีวอนามัยในแรงงานนอกระบบที่มีประสิทธิภาพ เพื่อรองรับการเคลื่อนย้ายของแรงงานข้ามชาติ อันเป็นผลมาจากการเข้าสู่ประชาคมอาเซียนในปี 2015
</t>
    </r>
    <r>
      <rPr>
        <b/>
        <sz val="12"/>
        <color rgb="FF000000"/>
        <rFont val="TH SarabunPSK"/>
        <family val="2"/>
      </rPr>
      <t xml:space="preserve">กลุ่มเป้าหมาย : </t>
    </r>
    <r>
      <rPr>
        <sz val="12"/>
        <color rgb="FF000000"/>
        <rFont val="TH SarabunPSK"/>
        <family val="2"/>
      </rPr>
      <t xml:space="preserve">ผู้อำนวยการ/นักวิชาการจากสำนักโรคจากการประกอบอาชีพและสิ่งแวดล้อม/นักวิชาการจากสำนักงานป้องกันควบคุมโรค
</t>
    </r>
    <r>
      <rPr>
        <b/>
        <sz val="12"/>
        <color rgb="FF000000"/>
        <rFont val="TH SarabunPSK"/>
        <family val="2"/>
      </rPr>
      <t xml:space="preserve">ประโยชน์ที่คาดว่าจะได้รับ :
   </t>
    </r>
    <r>
      <rPr>
        <sz val="12"/>
        <color rgb="FF000000"/>
        <rFont val="TH SarabunPSK"/>
        <family val="2"/>
      </rPr>
      <t>1. บุคลากรได้รับความรู้ที่ทันสมัย และสามารถนำไปพัฒนา และถ่ายทอดสู่เครือข่ายเพื่อการประยุกต์ใช้ในการดำเนินงานการควบคุมโรคจากการประกอบอาชีพและสิ่งแวดล้อม
   2. ประสบการณ์ / ผลงานวิชาการได้รับการเผยแพร่สู่ระดับนานาชาติ และได้มีการแลกเปลี่ยนให้ข้อเสนอแนะเพื่อให้เหมาะสมกับประเทศนั้นๆ
   3. บุคลากรได้รับการพัฒนาตนเองในการเข้าร่วมประชุม และนำเสนอผลงานวิชาการในเวทีระดับนานาชาติ</t>
    </r>
  </si>
  <si>
    <r>
      <t xml:space="preserve">ประเภท ก
</t>
    </r>
    <r>
      <rPr>
        <sz val="12"/>
        <color rgb="FF0000FF"/>
        <rFont val="TH SarabunPSK"/>
        <family val="2"/>
      </rPr>
      <t>( สาธารณรัฐประชาชนจีน)</t>
    </r>
  </si>
  <si>
    <t xml:space="preserve">33. การพัฒนาความร่วมมือด้านการป้องกัน และควบคุมโรค ระหว่างกรมควบคุมโรค และมณฑลเทียนจิน  สาธารณรัฐประชาชนจีน </t>
  </si>
  <si>
    <r>
      <t xml:space="preserve">วัตถุประสงค์ </t>
    </r>
    <r>
      <rPr>
        <sz val="12"/>
        <color rgb="FF000000"/>
        <rFont val="TH SarabunPSK"/>
        <family val="2"/>
      </rPr>
      <t xml:space="preserve">เพื่อพัฒนาศักยภาพของบุคลากรในด้านอาชีวอนามัย และการป้องกัน และเฝ้าระวังโรคตามที่มีข้อตกลงร่วมกัน รวมทั้งเพื่อพัฒนาความร่วมมือระหว่างสองหน่วยงาน และสองประเทศ ภายใต้กรอบความร่วมมืออาเซียน+3 
</t>
    </r>
    <r>
      <rPr>
        <b/>
        <sz val="12"/>
        <color rgb="FF000000"/>
        <rFont val="TH SarabunPSK"/>
        <family val="2"/>
      </rPr>
      <t xml:space="preserve">กลุ่มเป้าหมาย : </t>
    </r>
    <r>
      <rPr>
        <sz val="12"/>
        <color rgb="FF000000"/>
        <rFont val="TH SarabunPSK"/>
        <family val="2"/>
      </rPr>
      <t xml:space="preserve">อธิบดี / ผู้อำนวยการสำนักระบาดวิทยา, สำนักโรคเอดส์ วัณโรคและโรคติดต่อทางเพศสัมพันธ์, สำนักงานความร่วมมือระหว่างประเทศ
</t>
    </r>
    <r>
      <rPr>
        <b/>
        <sz val="12"/>
        <color rgb="FF000000"/>
        <rFont val="TH SarabunPSK"/>
        <family val="2"/>
      </rPr>
      <t xml:space="preserve">ประโยชน์ที่คาดว่าจะได้รับ :
  </t>
    </r>
    <r>
      <rPr>
        <sz val="12"/>
        <color rgb="FF000000"/>
        <rFont val="TH SarabunPSK"/>
        <family val="2"/>
      </rPr>
      <t xml:space="preserve">1. เครือข่ายความร่วมมือในการพัฒนาองค์ความรู้ และเทคโนโลยีในการเฝ้าระวัง และป้องกันโรคจากการประกอบอาชีพ และสิ่งแวดล้อม และโรคติดต่อต่าง ๆ   
   2. บุคลากรของหน่วยงาน ซึ่งได้แก่ แพทย์ พยาบาล นักวิชาการสาธารณสุข นักวิทยาศาสตร์การแพทย์ มีความรู้ความสามารถในด้านอาชีวอนามัย และการป้องกันควบคุมโรค ตามข้อตกลงร่วมกัน  </t>
    </r>
  </si>
  <si>
    <t xml:space="preserve">34. การพัฒนาความร่วมมือด้านการป้องกัน และควบคุมโรค ระหว่างกรมควบคุมโรค และมณฑลกวางสี  สาธารณรัฐประชาชนจีน </t>
  </si>
  <si>
    <t>35. โครงการพัฒนาศักยภาพบุคลากรด้านการพัฒนานโยบายการเฝ้าระวัง ป้องกัน ควบคุมโรคและภัยสุขภาพ เพื่อตอบโต้ภาวะฉุกเฉินด้านการแพทย์และสาธารณสุข</t>
  </si>
  <si>
    <r>
      <t xml:space="preserve">ประเภท จ
</t>
    </r>
    <r>
      <rPr>
        <sz val="12"/>
        <color rgb="FF0000FF"/>
        <rFont val="TH SarabunPSK"/>
        <family val="2"/>
      </rPr>
      <t>( ประเทศสหรัฐอเมริกา)</t>
    </r>
  </si>
  <si>
    <r>
      <t xml:space="preserve">วัตถุประสงค์ </t>
    </r>
    <r>
      <rPr>
        <sz val="10"/>
        <color rgb="FF000000"/>
        <rFont val="TH SarabunPSK"/>
        <family val="2"/>
      </rPr>
      <t xml:space="preserve">เพื่อแลกเปลี่ยนข้อคิดเห็น องค์ความรู้ บทเรียน และประสบการณ์กับผู้เชี่ยวชาญของศูนย์ควบคุมโรคแห่งชาติ ประเทศสหรัฐอเมริกา (CDC , USA) และสถาบันวอเตอร์ รีด (Water Reed Institute : USARMRID) รวมทั้งเพื่อศึกษาระบบการจัดการและวิทยาการความก้าวหน้าของระบบเฝ้าระวังป้องกันควบคุมโรคและภัยคุกคามสุขภาพ รวมทั้งการเตรียมพร้อมตอบโต้ภาวะฉุกเฉินของหน่วยงานดังกล่าว เพื่อนำข้อสังเกตหรือข้อเสนอแนะมาพัฒนนโยบายและยุทธศาสตร์ รวมทั้ง แนวทางในการเตรียมความพร้อมสำหรับภาวะฉุกเฉินกรณีโรคติดต่ออุบัติใหม่ และภัยคุกคามสุขภาพ โดยเฉพาะที่เกิดจากสารเคมีและสิ่งแวดล้อม 
</t>
    </r>
    <r>
      <rPr>
        <b/>
        <sz val="10"/>
        <color rgb="FF000000"/>
        <rFont val="TH SarabunPSK"/>
        <family val="2"/>
      </rPr>
      <t xml:space="preserve">กลุ่มเป้าหมาย : </t>
    </r>
    <r>
      <rPr>
        <sz val="10"/>
        <color rgb="FF000000"/>
        <rFont val="TH SarabunPSK"/>
        <family val="2"/>
      </rPr>
      <t xml:space="preserve">อธิบดีหรือรองอธิบดี / ผู้อำนวยการสำนักโรคติดต่อทั่วไป, สำนักป้องกันควบคุมโรค
</t>
    </r>
    <r>
      <rPr>
        <b/>
        <sz val="10"/>
        <color rgb="FF000000"/>
        <rFont val="TH SarabunPSK"/>
        <family val="2"/>
      </rPr>
      <t xml:space="preserve">ประโยชน์ที่คาดว่าจะได้รับ :
 </t>
    </r>
    <r>
      <rPr>
        <sz val="10"/>
        <color rgb="FF000000"/>
        <rFont val="TH SarabunPSK"/>
        <family val="2"/>
      </rPr>
      <t xml:space="preserve">1)  ผู้บริหารของกรมควบคุมโรคมีความรู้ และวิทยาการความก้าวหน้าที่ได้จากการประชุมปรึกษาหารือและศึกษาดูงาน มาใช้เป็นแนวทางในการกำหนดนโยบาย และแนวทาง รวมทั้งให้คำปรึกษาในการพัฒนางานเฝ้าระวังป้องกันควบคุมโรค และระบบเตือนภัยด้านสุขภาพ รวมทั้งแผนเตรียมพร้อมรองรับภาวะฉุกเฉินที่ทันสมัย มีประสิทธิภาพ  และเหมาะสมกับบริบทของประเทศไทย 
  2) แผนงาน/โครงการด้านการเฝ้าระวังป้องกันควบคุมโรค และแผนงาน/โครงการเตรียมพร้อมรองรับภาวะฉุกเฉินของกรมฯ ได้รับการปรับปรุง/ชี้แนะตามมาตรฐานสากลจากผู้เชี่ยวชาญของ CDC และสถาบันวอเตอร์ รีด </t>
    </r>
  </si>
  <si>
    <r>
      <t xml:space="preserve">ประเภท จ
</t>
    </r>
    <r>
      <rPr>
        <sz val="12"/>
        <color rgb="FF0000FF"/>
        <rFont val="TH SarabunPSK"/>
        <family val="2"/>
      </rPr>
      <t>(ประเทศสหรัฐอเมริกา)</t>
    </r>
  </si>
  <si>
    <t>36. การอบรมเรื่อง Humantarian Emergency in Large Population</t>
  </si>
  <si>
    <t>ฝึกอบรม</t>
  </si>
  <si>
    <r>
      <t xml:space="preserve">วัตถุประสงค์ </t>
    </r>
    <r>
      <rPr>
        <sz val="10"/>
        <color rgb="FF000000"/>
        <rFont val="TH SarabunPSK"/>
        <family val="2"/>
      </rPr>
      <t xml:space="preserve">
  1  เพื่อพัฒนาศักยภาพบุคลากรในการบริหารจัดการด้านภัยพิบัติ ที่มีความเกี่ยวเนื่องกับประชากรกลุ่มใหญ่
  2  เพื่อเพิ่มพูนความรู้ในการบริหารจัดการภาวะภัยพิบัติขนาดใหญ่ เพื่อนำมาซึ่งการวางแผนบริหารจัดการ สำหรับกรมควบคุมโรค
</t>
    </r>
    <r>
      <rPr>
        <b/>
        <sz val="10"/>
        <color rgb="FF000000"/>
        <rFont val="TH SarabunPSK"/>
        <family val="2"/>
      </rPr>
      <t xml:space="preserve">กลุ่มเป้าหมาย : </t>
    </r>
    <r>
      <rPr>
        <sz val="10"/>
        <color rgb="FF000000"/>
        <rFont val="TH SarabunPSK"/>
        <family val="2"/>
      </rPr>
      <t xml:space="preserve">นายสัตวแพทย์ ชำนาญการพิเศษ สำนักโรคติดต่อทั่วไป
</t>
    </r>
    <r>
      <rPr>
        <b/>
        <sz val="10"/>
        <color rgb="FF000000"/>
        <rFont val="TH SarabunPSK"/>
        <family val="2"/>
      </rPr>
      <t xml:space="preserve">ประโยชน์ที่คาดว่าจะได้รับ :
</t>
    </r>
    <r>
      <rPr>
        <sz val="10"/>
        <color rgb="FF000000"/>
        <rFont val="TH SarabunPSK"/>
        <family val="2"/>
      </rPr>
      <t xml:space="preserve">   1  บุคลากรสามารถนำองค์ความรู้และประสบการณ์จากผู้เชี่ยวชาญ จามาพัฒนาระบบบริหารจัดการด้านภัยพิบัติสำหรับกรมควบคุมโรคได้
   2  บุคลากรสามารถนำความรู้และประสบการณ์จากผู้เชี่ยวชาญมาพัฒนารูปแบบการดำเนินงานสำหรับกรมควบคุมโรค</t>
    </r>
  </si>
  <si>
    <r>
      <t>37. การประชุมเรื่อง 8</t>
    </r>
    <r>
      <rPr>
        <b/>
        <vertAlign val="superscript"/>
        <sz val="12"/>
        <color rgb="FF000000"/>
        <rFont val="TH SarabunPSK"/>
        <family val="2"/>
      </rPr>
      <t>th</t>
    </r>
    <r>
      <rPr>
        <b/>
        <sz val="12"/>
        <color rgb="FF000000"/>
        <rFont val="TH SarabunPSK"/>
        <family val="2"/>
      </rPr>
      <t xml:space="preserve"> Annual Scientific International Leptosprirosis Socieity</t>
    </r>
  </si>
  <si>
    <r>
      <t xml:space="preserve">วัตถุประสงค์ </t>
    </r>
    <r>
      <rPr>
        <sz val="10"/>
        <color rgb="FF000000"/>
        <rFont val="TH SarabunPSK"/>
        <family val="2"/>
      </rPr>
      <t xml:space="preserve">
  1. เพื่อให้แพทย์/นายสัตวแพทย์ได้พัฒนาสมรรถนะด้านการบริหารจัดการ การเฝ้าระวัง  และป้องกันควบคุมโรคเลปโตสไปโรสิส 
   2. เพื่อให้แพทย์/นายสัตวแพทย์ได้ศึกษา และแลกเปลี่ยนประสบการณ์กับผู้เชี่ยวชาญนานาชาติด้านการวินิจฉัย รักษา และป้องกันควบคุมโรคเลปโตสไปโรสิส   
</t>
    </r>
    <r>
      <rPr>
        <b/>
        <sz val="10"/>
        <color rgb="FF000000"/>
        <rFont val="TH SarabunPSK"/>
        <family val="2"/>
      </rPr>
      <t xml:space="preserve">กลุ่มเป้าหมาย : </t>
    </r>
    <r>
      <rPr>
        <sz val="10"/>
        <color rgb="FF000000"/>
        <rFont val="TH SarabunPSK"/>
        <family val="2"/>
      </rPr>
      <t xml:space="preserve">นักวิชาการสาธารณสุขระดับเชี่ยวชาญ สำนักโรคติดต่อทั่วไป
</t>
    </r>
    <r>
      <rPr>
        <b/>
        <sz val="10"/>
        <color rgb="FF000000"/>
        <rFont val="TH SarabunPSK"/>
        <family val="2"/>
      </rPr>
      <t xml:space="preserve">ประโยชน์ที่คาดว่าจะได้รับ :
     </t>
    </r>
    <r>
      <rPr>
        <sz val="10"/>
        <color rgb="FF000000"/>
        <rFont val="TH SarabunPSK"/>
        <family val="2"/>
      </rPr>
      <t>เพื่อเพิ่มพูนองค์ความรู้  การบริหารจัดการๆที่เกี่ยวข้องกับโรคเลปโตสไปโรสิส รวมถึงโรคจากสัตว์สู่คน การสร้างเครือข่ายนานาชาติด้านวิชาการ และพัฒนา ส่งเสริม บทบาทของงานสัตวแพทยสาธารณสุข ทั้งในประเทศและระหว่างประเทศในเรื่องของการป้องกันควบคุมโรคเลปโตสไปโรสิส</t>
    </r>
  </si>
  <si>
    <r>
      <t xml:space="preserve">ประเภท ง
</t>
    </r>
    <r>
      <rPr>
        <sz val="12"/>
        <color rgb="FF0000FF"/>
        <rFont val="TH SarabunPSK"/>
        <family val="2"/>
      </rPr>
      <t>(ประเทศญี่ปุ่น)</t>
    </r>
  </si>
  <si>
    <t>38. การประชุมประสานความร่วมมือและบูรณาการการทำงานร่วมกันของผู้ปฏิบัติงานด่านควบคุมโรคของประเทศไทยและประเทศอินโดนีเซียในการป้องกันและควบคุมโรคติดต่อระหว่างประเทศ</t>
  </si>
  <si>
    <r>
      <t xml:space="preserve">ประเภท ก
</t>
    </r>
    <r>
      <rPr>
        <sz val="12"/>
        <color rgb="FF0000FF"/>
        <rFont val="TH SarabunPSK"/>
        <family val="2"/>
      </rPr>
      <t>(ประเทศอินโดนีเซีย )</t>
    </r>
  </si>
  <si>
    <r>
      <t xml:space="preserve">วัตถุประสงค์ </t>
    </r>
    <r>
      <rPr>
        <sz val="10"/>
        <color rgb="FF000000"/>
        <rFont val="TH SarabunPSK"/>
        <family val="2"/>
      </rPr>
      <t xml:space="preserve">
1) เพื่อส่งเสริมความร่วมมือ และบูรณาการการทำงานร่วมกันระหว่างหน่วยงานของทั้ง 2 ประเทศ
    2) เพื่อเป็นเวทีในการแลกเปลี่ยนข้อมูล ประสบการณ์ และแนวทางปฏิบัติที่ดีระหว่างเจ้าหน้าที่ผู้ปฏิบัติงานของทั้ง 2 ประเทศ
    3) เพื่อหาแนวทางร่วมกันในการดำเนินการป้องกันและควบคุมโรคติดต่อระหว่างประเทศทั้งสอง
</t>
    </r>
    <r>
      <rPr>
        <b/>
        <sz val="10"/>
        <color rgb="FF000000"/>
        <rFont val="TH SarabunPSK"/>
        <family val="2"/>
      </rPr>
      <t xml:space="preserve">กลุ่มเป้าหมาย : </t>
    </r>
    <r>
      <rPr>
        <sz val="10"/>
        <color rgb="FF000000"/>
        <rFont val="TH SarabunPSK"/>
        <family val="2"/>
      </rPr>
      <t>นายแพทย์ชำนาญการพิเศษ</t>
    </r>
    <r>
      <rPr>
        <b/>
        <sz val="10"/>
        <color rgb="FF000000"/>
        <rFont val="TH SarabunPSK"/>
        <family val="2"/>
      </rPr>
      <t xml:space="preserve"> /</t>
    </r>
    <r>
      <rPr>
        <sz val="10"/>
        <color rgb="FF000000"/>
        <rFont val="TH SarabunPSK"/>
        <family val="2"/>
      </rPr>
      <t xml:space="preserve">นักวิชาการสาธารณสุขชำนาญการ
</t>
    </r>
    <r>
      <rPr>
        <b/>
        <sz val="10"/>
        <color rgb="FF000000"/>
        <rFont val="TH SarabunPSK"/>
        <family val="2"/>
      </rPr>
      <t xml:space="preserve">ประโยชน์ที่คาดว่าจะได้รับ :  </t>
    </r>
    <r>
      <rPr>
        <sz val="10"/>
        <color rgb="FF000000"/>
        <rFont val="TH SarabunPSK"/>
        <family val="2"/>
      </rPr>
      <t>เจ้าหน้าที่ผู้ปฏิบัติงานฯ มีความรู้ และความเข้าใจเกี่ยวกับการดำเนินงานด้านการป้องกันควบคุมโรคระหว่างประเทศ และมีเครือข่ายความร่วมมือระหว่างหน่วยงานที่เกี่ยวข้อง รวมทั้งสามารถนำความรู้มาพัฒนารูปแบบและแนวทางการดำเนินงานได้อย่างเป็นรูปธรรมตามกฏอนามัยระหว่างประเทศ 2548 (IHR 2005) รวมทั้งเป็นการเตรียมความพร้อมเข้าสู่ประชาคมอาเซียน</t>
    </r>
  </si>
  <si>
    <t>ยกเลิก เนื่องจากผู้จัดการประชุมเลื่อนกำหนดการจัดประชุม เป็น เดือน ต.ค. 56 (ปีงบประมาณ 2557)</t>
  </si>
  <si>
    <t>39. การประชุมเรื่อง The Global Alcohol Policy Conference 2013</t>
  </si>
  <si>
    <r>
      <t xml:space="preserve">ประเภท ก
</t>
    </r>
    <r>
      <rPr>
        <sz val="12"/>
        <color rgb="FF0000FF"/>
        <rFont val="TH SarabunPSK"/>
        <family val="2"/>
      </rPr>
      <t>(ประเทศ เกาหลีใต้)</t>
    </r>
  </si>
  <si>
    <r>
      <rPr>
        <b/>
        <sz val="12"/>
        <color rgb="FF000000"/>
        <rFont val="TH SarabunPSK"/>
        <family val="2"/>
      </rPr>
      <t xml:space="preserve">วัตถุประสงค์ : </t>
    </r>
    <r>
      <rPr>
        <sz val="12"/>
        <color rgb="FF000000"/>
        <rFont val="TH SarabunPSK"/>
        <family val="2"/>
      </rPr>
      <t xml:space="preserve">เพื่อส่งเสริมกระบวนการจัดการปัญหาจากการบริโภคเครื่องดื่มแอลกอฮอล์ด้วยความรู้ทางวิชาการและการมีส่วนร่วมจากทุกภาคส่วนที่ปราศจากผลประโยชน์ทับซ้อน รวมถึงเพื่อมีส่วนร่วมในการปฏิบัติงานตามแผนยุทธศาสตร์แอลกอฮอล์ระดับโลก และเพื่อพัฒนาเครือข่ายระดับโลก
</t>
    </r>
    <r>
      <rPr>
        <b/>
        <sz val="12"/>
        <color rgb="FF000000"/>
        <rFont val="TH SarabunPSK"/>
        <family val="2"/>
      </rPr>
      <t>กลุ่มเป้าหมาย</t>
    </r>
    <r>
      <rPr>
        <sz val="12"/>
        <color rgb="FF000000"/>
        <rFont val="TH SarabunPSK"/>
        <family val="2"/>
      </rPr>
      <t xml:space="preserve"> : ผู้อำนวยการ/นายแพทย์เชี่ยวชาญ สำนักงานคณะกรรมการควบคุมเครื่องดื่มแอลกอฮอล์
</t>
    </r>
    <r>
      <rPr>
        <b/>
        <sz val="12"/>
        <color rgb="FF000000"/>
        <rFont val="TH SarabunPSK"/>
        <family val="2"/>
      </rPr>
      <t>ผลประโยชน์ที่ได้รับ</t>
    </r>
    <r>
      <rPr>
        <sz val="12"/>
        <color rgb="FF000000"/>
        <rFont val="TH SarabunPSK"/>
        <family val="2"/>
      </rPr>
      <t xml:space="preserve"> : 
เครือข่ายความร่วมมือในการลดปัญหาจากเครื่องดื่มแอลกอฮอล์ในระดับโลก และได้รับข้อคิดเห็น และประเด็นข้อกังวล รวมทั้งข้อเสนอแนะ เพื่อจะนำมาเป็นแนวทางในการสนับสนุนการควบคุมเครื่องดื่มแอลกอฮอล์ในประเทศไทย</t>
    </r>
  </si>
  <si>
    <t>40. APEC Wine Regulatory Forum – Public-Private Dialogue:Risk Management and Certification Requirements for Regional Trade in Wine</t>
  </si>
  <si>
    <r>
      <rPr>
        <b/>
        <sz val="12"/>
        <color rgb="FF000000"/>
        <rFont val="TH SarabunPSK"/>
        <family val="2"/>
      </rPr>
      <t xml:space="preserve">วัตถุประสงค์ : </t>
    </r>
    <r>
      <rPr>
        <sz val="12"/>
        <color rgb="FF000000"/>
        <rFont val="TH SarabunPSK"/>
        <family val="2"/>
      </rPr>
      <t xml:space="preserve">เพื่อร่วมแลกเปลี่ยนข้อมูลในการพัฒนากฎระเบียบเกี่ยวกับการกำกับดูแลการค้าไวน์ในระดับภูมิภาค ร่วมรับฟังและแลกเปลี่ยนความคิดเห็นด้านการบริหารจัดการและประเมินความเสี่ยง และข้อกำหนดการรับรองสำหรับการค้าไวน์ ในระดับภูมิภาค
</t>
    </r>
    <r>
      <rPr>
        <b/>
        <sz val="12"/>
        <color rgb="FF000000"/>
        <rFont val="TH SarabunPSK"/>
        <family val="2"/>
      </rPr>
      <t>กลุ่มเป้าหมาย</t>
    </r>
    <r>
      <rPr>
        <sz val="12"/>
        <color rgb="FF000000"/>
        <rFont val="TH SarabunPSK"/>
        <family val="2"/>
      </rPr>
      <t xml:space="preserve"> : ผู้อำนวยการ/นายแพทย์เชี่ยวชาญ สำนักงานคณะกรรมการควบคุมเครื่องดื่มแอลกอฮอล์
</t>
    </r>
    <r>
      <rPr>
        <b/>
        <sz val="12"/>
        <color rgb="FF000000"/>
        <rFont val="TH SarabunPSK"/>
        <family val="2"/>
      </rPr>
      <t>ผลประโยชน์ที่ได้รับ</t>
    </r>
    <r>
      <rPr>
        <sz val="12"/>
        <color rgb="FF000000"/>
        <rFont val="TH SarabunPSK"/>
        <family val="2"/>
      </rPr>
      <t xml:space="preserve"> : การแลกเปลี่ยนข้อมูลและความเข้าใจที่ดีขึ้นของข้อกำหนดด้านกฎระเบียบเกี่ยวกับการกำกับดูแลการค้าไวน์ในระดับภูมิภาค และได้รับข้อคิดเห็น ประเด็นข้อกังวล รวมทั้งข้อเสนอแนะ เพื่อพัฒนาเป็นแนวทางสำหรับการจัดวางแผนการดำเนินงานด้านการควบคุมเครื่องดื่มแอลกอฮอล์ของประเทศไทยในอนาคต </t>
    </r>
  </si>
  <si>
    <t>41. การพัฒนาความร่วมมือในการป้องกันควบคุมโรคระหว่างกรมควบคุมโรค และ Public Health England (PHE)</t>
  </si>
  <si>
    <r>
      <t xml:space="preserve">ประเภท จ
</t>
    </r>
    <r>
      <rPr>
        <sz val="12"/>
        <color rgb="FF0000FF"/>
        <rFont val="TH SarabunPSK"/>
        <family val="2"/>
      </rPr>
      <t>(ประเทศสหราชอาณาจักร)</t>
    </r>
  </si>
  <si>
    <r>
      <rPr>
        <b/>
        <sz val="12"/>
        <color rgb="FF000000"/>
        <rFont val="TH SarabunPSK"/>
        <family val="2"/>
      </rPr>
      <t xml:space="preserve">วัตถุประสงค์ : </t>
    </r>
    <r>
      <rPr>
        <sz val="12"/>
        <color rgb="FF000000"/>
        <rFont val="TH SarabunPSK"/>
        <family val="2"/>
      </rPr>
      <t xml:space="preserve">เพื่อแลกเปลี่ยนข้อมูล และประสบการณ์ในการป้องกันและควบคุมโรคระหว่างผู้บริหารและผู้เชี่ยวชาญ รวมทั้งเพื่อแลกเปลี่ยนนักศึกษาหลักสูตรการฝึกอบรมทางระบาดวิทยาภาคสนาม (FETP) ของหน่วยงานทั้งสอง 
</t>
    </r>
    <r>
      <rPr>
        <b/>
        <sz val="12"/>
        <color rgb="FF000000"/>
        <rFont val="TH SarabunPSK"/>
        <family val="2"/>
      </rPr>
      <t>กลุ่มเป้าหมาย</t>
    </r>
    <r>
      <rPr>
        <sz val="12"/>
        <color rgb="FF000000"/>
        <rFont val="TH SarabunPSK"/>
        <family val="2"/>
      </rPr>
      <t xml:space="preserve"> : อธิบดีกรมควบคุมโรค/ รองอธิบดี/ นายแพทย์ผู้ทรงคุณวุฒิ / ผู้อำนวยการสำนักระบาดวิทยา, สำนักโรคติดต่อทั่วไป, สำนักงานความร่วมมือระหว่างประเทศ
</t>
    </r>
    <r>
      <rPr>
        <b/>
        <sz val="12"/>
        <color rgb="FF000000"/>
        <rFont val="TH SarabunPSK"/>
        <family val="2"/>
      </rPr>
      <t>ผลประโยชน์ที่ได้รับ</t>
    </r>
    <r>
      <rPr>
        <sz val="12"/>
        <color rgb="FF000000"/>
        <rFont val="TH SarabunPSK"/>
        <family val="2"/>
      </rPr>
      <t xml:space="preserve"> :
ข้อเสนอแนะ ประสบการณ์ และแนวทางปฏิบัติที่ดีในการป้องกันและควบคุมโรคเพื่อนำมาประยุกต์ใช้ในการพัฒนาแนวทาง/ มาตรการ/ กลวิธีในการดำเนินงานป้องกันควบคุมโรคของประเทศไทย รวมทั้งมีเครือข่ายในการแลกเปลี่ยนข้อมูล ประสบการณ์ และแนวทางปฏิบัติในการป้องกันและควบคุมโรคกับนานาประเทศ</t>
    </r>
  </si>
  <si>
    <r>
      <t xml:space="preserve">ประเภท ข </t>
    </r>
    <r>
      <rPr>
        <sz val="12"/>
        <color rgb="FF0000FF"/>
        <rFont val="TH SarabunPSK"/>
        <family val="2"/>
      </rPr>
      <t>(เมืองบันดาเสนรีเบกาวัน ประเทศบรูไน)</t>
    </r>
  </si>
  <si>
    <r>
      <rPr>
        <b/>
        <sz val="12"/>
        <color rgb="FF000000"/>
        <rFont val="TH SarabunPSK"/>
        <family val="2"/>
      </rPr>
      <t xml:space="preserve">วัตถุประสงค์ </t>
    </r>
    <r>
      <rPr>
        <sz val="12"/>
        <color rgb="FF000000"/>
        <rFont val="TH SarabunPSK"/>
        <family val="2"/>
      </rPr>
      <t xml:space="preserve">: เพื่อแลกเปลี่ยนข้อมูล และประสบการณ์ในการป้องกันควบคุมโรค และภัยสุขภาพกับประเทศสมาชิก และร่วมกันกำหนดมาตรการ และแนวทางในการแก้ไขปัญหาสาธารณสุขร่วมกัน โดยเฉพาะโรคติดต่อ และโรคไม่ติดต่อ รวมทั้งเพื่อเสริมสร้าง และพัฒนาเครือข่ายความร่วมมือในการเฝ้าระวัง ป้องกันควบคุมโรคในระหว่างประเทศสมาชิก
</t>
    </r>
    <r>
      <rPr>
        <b/>
        <sz val="12"/>
        <color rgb="FF000000"/>
        <rFont val="TH SarabunPSK"/>
        <family val="2"/>
      </rPr>
      <t xml:space="preserve">กลุ่มเป้าหมาย </t>
    </r>
    <r>
      <rPr>
        <sz val="12"/>
        <color rgb="FF000000"/>
        <rFont val="TH SarabunPSK"/>
        <family val="2"/>
      </rPr>
      <t xml:space="preserve">: นายแพทย์เชี่ยวชาญ/ หรือผู้อำนวยการสำนักงานความร่วมมือระหว่างประเทศ กรมควบคุมโรค
</t>
    </r>
    <r>
      <rPr>
        <b/>
        <sz val="12"/>
        <color rgb="FF000000"/>
        <rFont val="TH SarabunPSK"/>
        <family val="2"/>
      </rPr>
      <t>ผลประโยชน์ที่ได้รับ</t>
    </r>
    <r>
      <rPr>
        <sz val="12"/>
        <color rgb="FF000000"/>
        <rFont val="TH SarabunPSK"/>
        <family val="2"/>
      </rPr>
      <t xml:space="preserve"> :  ข้อเสนอแนะ ประสบการณ์ และแนวทางปฏิบัติที่ดีในการป้องกันและควบคุมโรคเพื่อนำมาประยุกต์ใช้ในการพัฒนาแนวทาง/ มาตรการ/ กลวิธีในการดำเนินงานป้องกันควบคุมโรคของประเทศไทย รวมทั้งจะเป็นการส่งเสริมความเข้มแข็งของเครือข่ายในการเฝ้าระวัง ป้องกันและควบคุมโรคในกลุ่มประเทศสมาชิกอาเซียน ซึ่งจะช่วยสนับสนุนการเข้าสู่ประชาคมอาเซียน ในปี พ.ศ. 2558 ได้เป็นอย่างดี</t>
    </r>
  </si>
  <si>
    <t>9. การประชุมนานาชาติว่าด้วยโรคเอดส์ (World AIDS Conference-The 20th International AIDS Conference -AIDS 2014)</t>
  </si>
  <si>
    <r>
      <t>11.การประชุม "19</t>
    </r>
    <r>
      <rPr>
        <b/>
        <vertAlign val="superscript"/>
        <sz val="12"/>
        <color rgb="FF000000"/>
        <rFont val="TH SarabunPSK"/>
        <family val="2"/>
      </rPr>
      <t>th</t>
    </r>
    <r>
      <rPr>
        <b/>
        <sz val="12"/>
        <color rgb="FF000000"/>
        <rFont val="TH SarabunPSK"/>
        <family val="2"/>
      </rPr>
      <t xml:space="preserve"> International Coference of the European Society of Vector Ecology (E-SOVE)"</t>
    </r>
  </si>
  <si>
    <r>
      <t>12. การประชุม เรื่อง  8</t>
    </r>
    <r>
      <rPr>
        <b/>
        <vertAlign val="superscript"/>
        <sz val="12"/>
        <color rgb="FF000000"/>
        <rFont val="TH SarabunPSK"/>
        <family val="2"/>
      </rPr>
      <t>th</t>
    </r>
    <r>
      <rPr>
        <b/>
        <sz val="12"/>
        <color rgb="FF000000"/>
        <rFont val="TH SarabunPSK"/>
        <family val="2"/>
      </rPr>
      <t xml:space="preserve"> Global Alliance to Eliminate Lymphatic Filariasis </t>
    </r>
  </si>
  <si>
    <r>
      <t>21. การประชุมผู้ประสานการงานด้านการควบคุมยาสูบภูมิภาคอาเซียน ครั้งที่ 5 (5</t>
    </r>
    <r>
      <rPr>
        <b/>
        <vertAlign val="superscript"/>
        <sz val="12"/>
        <color rgb="FF000000"/>
        <rFont val="TH SarabunPSK"/>
        <family val="2"/>
      </rPr>
      <t>th</t>
    </r>
    <r>
      <rPr>
        <b/>
        <sz val="12"/>
        <color rgb="FF000000"/>
        <rFont val="TH SarabunPSK"/>
        <family val="2"/>
      </rPr>
      <t xml:space="preserve"> AFPTC: ASEAN Focal Point on Tobacco Control)</t>
    </r>
  </si>
  <si>
    <r>
      <rPr>
        <b/>
        <sz val="12"/>
        <color rgb="FF000000"/>
        <rFont val="TH SarabunPSK"/>
        <family val="2"/>
      </rPr>
      <t xml:space="preserve">วัตถุประสงค์ : </t>
    </r>
    <r>
      <rPr>
        <sz val="12"/>
        <color rgb="FF000000"/>
        <rFont val="TH SarabunPSK"/>
        <family val="2"/>
      </rPr>
      <t xml:space="preserve">  เพื่อแลกเปลี่ยนข้อมูล/ข้อคิดเห็น และข้อเสนอแนะในการจัดทำร่างแนวปฏิบัติตามกรอบอนุสัญญาว่าด้วยการควบคุมยาสูบขององค์การอนามัยโลก ข้อ 6 ว่าด้วยเรื่องนโยบายภาษี  เพื่อใช้เป็นแนวทางในการควบคุมยาสูบของประเทศและเพื่อพัฒนาเครือข่ายความร่วมมือกับนานาประเทศในการควบคุมการบริโภคยาสูบ
</t>
    </r>
    <r>
      <rPr>
        <b/>
        <sz val="12"/>
        <color rgb="FF000000"/>
        <rFont val="TH SarabunPSK"/>
        <family val="2"/>
      </rPr>
      <t>กลุ่มเป้าหมาย :</t>
    </r>
    <r>
      <rPr>
        <sz val="12"/>
        <color rgb="FF000000"/>
        <rFont val="TH SarabunPSK"/>
        <family val="2"/>
      </rPr>
      <t xml:space="preserve"> รองอธิบดี  และผู้อำนวยการสำนักควบคุมการบริโภคยาสูบ
</t>
    </r>
    <r>
      <rPr>
        <b/>
        <sz val="12"/>
        <color rgb="FF000000"/>
        <rFont val="TH SarabunPSK"/>
        <family val="2"/>
      </rPr>
      <t>ประโยชน์ที่คาดว่าจะได้รับ</t>
    </r>
    <r>
      <rPr>
        <sz val="12"/>
        <color rgb="FF000000"/>
        <rFont val="TH SarabunPSK"/>
        <family val="2"/>
      </rPr>
      <t xml:space="preserve">
1.  ร่างแนวทางปฏิบัติตามกรอบอนุสัญญาว่าด้วยการควบคุมยาสูบขององค์การอนามัยโลก ข้อ 6 ว่าด้วยเรื่องนโยบายภาษี  
2.  มี เครือข่ายความร่วมมือกับนานาประเทศในการควบคุมการบริโภคยาสูบ </t>
    </r>
  </si>
  <si>
    <r>
      <t>42. การประชุม  17</t>
    </r>
    <r>
      <rPr>
        <b/>
        <vertAlign val="superscript"/>
        <sz val="12"/>
        <color rgb="FF000000"/>
        <rFont val="TH SarabunPSK"/>
        <family val="2"/>
      </rPr>
      <t>th</t>
    </r>
    <r>
      <rPr>
        <b/>
        <sz val="12"/>
        <color rgb="FF000000"/>
        <rFont val="TH SarabunPSK"/>
        <family val="2"/>
      </rPr>
      <t xml:space="preserve"> Brunei Darussalam -Indonesia-Malaysia-Singapore-Thailand (BIMST) Public Health Conference</t>
    </r>
  </si>
  <si>
    <t xml:space="preserve">อยู่ระหว่างดำเนินการ
</t>
  </si>
  <si>
    <t xml:space="preserve">คืนเงินกรมฯ เนื่องจากสำนักฯ ไม่ได้เข้าร่วมประชุมในปีนี้
</t>
  </si>
  <si>
    <t>0.0393
(อยู่ระหว่างดำเนินการครั้งที่ 2
)</t>
  </si>
  <si>
    <t xml:space="preserve">ผลผลิตที่ 1 : ผลิตภัณฑ์ด้านการเฝ้าระวัง ป้องกัน ควบคุมโรคและภัยสุขภาพที่ได้มาตรฐาน </t>
  </si>
  <si>
    <t>กิจกรรมหลักที่ 1.1 ศึกษา ค้นคว้า วิจัย พัฒนาวิชาการ และจัดการองค์ความรู้ด้านการเฝ้าระวัง ป้องกัน ควบคุมโรคและภัยสุขภาพ</t>
  </si>
  <si>
    <t>ผลผลิตที่ 2 : การสนับสนุน เสริมสร้างศักยภาพและความเข้มแข็งในการจัดการระบบเฝ้าระวัง ป้องกัน ควบคุมโรคและภัยสุขภาพ</t>
  </si>
  <si>
    <t>กิจกรรมหลักที่ 2.2 เสริมสร้างศักยภาพ พัฒนาความร่วมมือและสร้างการมีส่วนร่วมของเครือข่ายแระสิทธิภาพการเฝ้าระวัง ป้องกันโรคและภัยสุขภาพ</t>
  </si>
  <si>
    <t>(งดจัดครั้งที่ 2)</t>
  </si>
  <si>
    <t>15. ค่าใช้จ่ายในการเดินทางไปราชการต่างประเทศชั่วคราวและค่าใช้จ่ายในการเจรจาและประชุมนานาชาติ ปีงบประมาณ พ.ศ. 2557</t>
  </si>
  <si>
    <r>
      <t xml:space="preserve">ประเภท ก หรือ ข
</t>
    </r>
    <r>
      <rPr>
        <sz val="12"/>
        <color rgb="FF0000FF"/>
        <rFont val="TH SarabunPSK"/>
        <family val="2"/>
      </rPr>
      <t>(ประเทศในกลุ่มสมาชิกอาเซียน)</t>
    </r>
  </si>
  <si>
    <r>
      <t xml:space="preserve">ประเภท ก หรือ ข
</t>
    </r>
    <r>
      <rPr>
        <sz val="12"/>
        <color rgb="FF0000FF"/>
        <rFont val="TH SarabunPSK"/>
        <family val="2"/>
      </rPr>
      <t>(ประเทศในกลุ่มอาเซียน)</t>
    </r>
  </si>
  <si>
    <r>
      <t xml:space="preserve">ประเภท ก หรือ ข หรือ ง
</t>
    </r>
    <r>
      <rPr>
        <sz val="12"/>
        <color rgb="FF0000FF"/>
        <rFont val="TH SarabunPSK"/>
        <family val="2"/>
      </rPr>
      <t>(ประเทศในกลุ่มอาเซียน+3)</t>
    </r>
  </si>
  <si>
    <r>
      <t xml:space="preserve">ประเภท ก หรือ ข
</t>
    </r>
    <r>
      <rPr>
        <sz val="12"/>
        <color rgb="FF0000FF"/>
        <rFont val="TH SarabunPSK"/>
        <family val="2"/>
      </rPr>
      <t>(ประเทศในภูมิภาคเอเซียตะวันออกเฉียงใต้)</t>
    </r>
  </si>
  <si>
    <r>
      <t xml:space="preserve">ประเภท ก หรือ ง หรือ จ
</t>
    </r>
    <r>
      <rPr>
        <sz val="12"/>
        <color rgb="FF0000FF"/>
        <rFont val="TH SarabunPSK"/>
        <family val="2"/>
      </rPr>
      <t>(ประเทศในทวีปยุโรป/อเมริกา)</t>
    </r>
  </si>
  <si>
    <r>
      <t>ประเภท ก หรือ ข
(</t>
    </r>
    <r>
      <rPr>
        <sz val="12"/>
        <color rgb="FF0000FF"/>
        <rFont val="TH SarabunPSK"/>
        <family val="2"/>
      </rPr>
      <t>ประเทศในภูมิภาคอาเซียน)</t>
    </r>
  </si>
  <si>
    <r>
      <t>ประเภท ก หรือ ข(</t>
    </r>
    <r>
      <rPr>
        <sz val="12"/>
        <color rgb="FF0000FF"/>
        <rFont val="TH SarabunPSK"/>
        <family val="2"/>
      </rPr>
      <t>ประเทศในอนุภูมิภาคลุ่มแม่น้ำโขง)</t>
    </r>
  </si>
  <si>
    <r>
      <t xml:space="preserve">ประเภท ก หรือ ข
</t>
    </r>
    <r>
      <rPr>
        <sz val="12"/>
        <color rgb="FF0000FF"/>
        <rFont val="TH SarabunPSK"/>
        <family val="2"/>
      </rPr>
      <t>(ประเทศกลุ่มอาเซียน)</t>
    </r>
  </si>
  <si>
    <r>
      <t xml:space="preserve">ประเภท ก หรือ ข
</t>
    </r>
    <r>
      <rPr>
        <sz val="12"/>
        <color rgb="FF0000FF"/>
        <rFont val="TH SarabunPSK"/>
        <family val="2"/>
      </rPr>
      <t>(ประเทศสมาชิกอาเซียน)</t>
    </r>
  </si>
  <si>
    <t>14. ค่าใช้จ่ายในการเดินทางไปราชการต่างประเทศชั่วคราวและค่าใช้จ่ายในการเจรจาและประชุมนานาชาติ ปีงบประมาณ พ.ศ. 2557</t>
  </si>
  <si>
    <t>เอกสาร งปม.
หน้า</t>
  </si>
  <si>
    <t>ยุทธศาสตร์/แผนงาน/ผลผลิต/กิจกรรม/งบรายจ่าย/โครงการ/หลักสูตร/รายการ</t>
  </si>
  <si>
    <t>เสนอปรับลด</t>
  </si>
  <si>
    <t>งบประมาณคงเหลือ</t>
  </si>
  <si>
    <t>ประเภทการประชุม</t>
  </si>
  <si>
    <t>คำชี้แจง (เหตุผลความจำเป็นและประโยชน์ที่คาดว่าจะได้รับ)</t>
  </si>
  <si>
    <t xml:space="preserve">ผลผลิตที่ 1 : องค์ความรู้และเทคโนโลยีด้านการเฝ้าระวัง ป้องกัน ควบคุมโรคและภัยสุขภาพที่ได้มาตรฐาน </t>
  </si>
  <si>
    <t>กิจกรรมหลักที่ 1.1 ศึกษา ค้นคว้า วิจัย พัฒนาวิชาการ เพื่อกำหนดนโยบาย ยุทธศาสตร์ กฎหมาย มาตรการ มาตรฐาน แนวปฏิบัติ และถ่ายทอดองค์ความรู้ เทคโนโลยีด้านการเฝ้าระวัง ป้องกัน ควบคุมโรคและภัยสุขภาพ</t>
  </si>
  <si>
    <t xml:space="preserve">2. โครงการพัฒนาเครือข่ายด้านฝึกอบรมระบาดวิทยาภาคสนาม ภายใต้กรอบอาเซียน+3 (ASEAN+3 FETN) (ปีที่ 3) </t>
  </si>
  <si>
    <t>ผลผลิตที่ 2 : เครือข่ายเป้าหมายได้รับการสนับสนุน เสริมสร้างศักยภาพและความเข้มแข็งในการจัดการระบบเฝ้าระวัง ป้องกัน ควบคุมโรค ภัยสุขภาพ</t>
  </si>
  <si>
    <t>กิจกรรมหลักที่ 2.5 พัฒนา ประสาน สนับสนุนและประเมินศักยภาพระบบ กลไก เครือข่ายการเฝ้าระวัง ป้องกัน ควบคุมโรคและภัยสุขภาพ ทั้งในและระหว่างประเทศให้เป็นไปตามมาตรฐานสากล</t>
  </si>
  <si>
    <t>- ประชุมปรึกษาหารือ
- ตามบันทึกการเจรจาระหว่างกระทรวงสาธารณสุขของทั้งสองประเทศ ที่ลงนามไว้ เมื่อ 9 กรกฎาคม 2543</t>
  </si>
  <si>
    <t>(งดการจัดประชุมครั้งที่ 2
)</t>
  </si>
  <si>
    <t>25. การประชุมคณะทำงานสนับสนุนการปฏิบัติตามกรอบอนุสัญญาว่าด้วยการควบคุมยาสูบ (MOA)</t>
  </si>
  <si>
    <t>- ประชุมปรึกษาหารือ
- ภายใต้ข้อตกลงทางวิชาการระหว่างกรมควบคุมโรคและกรมสุขภาพ มณฑลกวางตุ้ง ที่ลงนามไว้ เมื่อ 28 สิงหาคม 2555</t>
  </si>
  <si>
    <t>- ประชุมปรึกษาหารือ
- ภายใต้บันทึกการเจรจาระหว่างกระทรวงสาธารณสุขของทั้งสองประเทศ ที่ลงนามไว้ เมื่อ 29  พฤษภาคม 2540</t>
  </si>
  <si>
    <t>- ประชุมปรึกษาหารือ
- ภายใต้บันทึกการเจรจาระหว่างกระทรวงสาธารณสุขของทั้งสองประเทศ ที่ลงนามไว้ เมื่อ 29  พฤษภาคม 254</t>
  </si>
  <si>
    <t>ยกเลิก เนื่องจากเลื่อนการจัดประชุม เป็น เดือน ต.ค. 56 (ปีงบประมาณ 2557)</t>
  </si>
  <si>
    <t>- ประชุมปรึกษาหารือ
- ตามกรอบความร่วมมืออาเซียน</t>
  </si>
  <si>
    <t>- ประชุม/สัมมนา
- ตามพันธกรณีกับองค์การอนามัยโลก และสมาพันธ์ต่อต้านวัณโรคและโรคปอด</t>
  </si>
  <si>
    <t xml:space="preserve">- ประชุมปรึกษาหารือ
- ตามพันธกรณีกับองค์การอนามัยโลก </t>
  </si>
  <si>
    <t>- ประชุมปรึกษาหารือ
- ภายใต้พันธสัญญากับองค์การอนามัยโลก</t>
  </si>
  <si>
    <t>- ประชุมปรึกษาหารือ
- ภายใต้กรอบความร่วมมือ ACMECS</t>
  </si>
  <si>
    <t>- ประชุมปรึกษาหารือ
- ภายใต้กรอบความร่วมมือ GMS</t>
  </si>
  <si>
    <t>- ประชุมปรึกษาหารือ
 - ตามกรอบความร่วมมืออาเซียน</t>
  </si>
  <si>
    <t>- ประชุมปรึกษาหารือ
- ตามพันธกรณีในฐานะ Board Member ของ RBM</t>
  </si>
  <si>
    <t>- ประชุมปรึกษาหารือ
- ตามมติคณะรัฐมนตรี</t>
  </si>
  <si>
    <r>
      <t xml:space="preserve">ประเภท .....
</t>
    </r>
    <r>
      <rPr>
        <sz val="12"/>
        <color rgb="FF0000FF"/>
        <rFont val="TH SarabunPSK"/>
        <family val="2"/>
      </rPr>
      <t>(ประเทศในกลุ่มสมาชิกอาเซียน)</t>
    </r>
  </si>
  <si>
    <r>
      <t xml:space="preserve">ประเภท .....
</t>
    </r>
    <r>
      <rPr>
        <sz val="12"/>
        <color rgb="FF0000FF"/>
        <rFont val="TH SarabunPSK"/>
        <family val="2"/>
      </rPr>
      <t>(ประเทศในกลุ่มอาเซียน+3)</t>
    </r>
  </si>
  <si>
    <r>
      <rPr>
        <b/>
        <sz val="12"/>
        <color rgb="FF000000"/>
        <rFont val="TH SarabunPSK"/>
        <family val="2"/>
      </rPr>
      <t>วัตถุประสงค์ :</t>
    </r>
    <r>
      <rPr>
        <u/>
        <sz val="12"/>
        <color rgb="FF000000"/>
        <rFont val="TH SarabunPSK"/>
        <family val="2"/>
      </rPr>
      <t xml:space="preserve">
</t>
    </r>
    <r>
      <rPr>
        <sz val="12"/>
        <color rgb="FF000000"/>
        <rFont val="TH SarabunPSK"/>
        <family val="2"/>
      </rPr>
      <t xml:space="preserve">   ๑. เพื่อพัฒนาศักยภาพของประเทศไทย ในการพัฒนาด้านระบาดวิทยา และการเป็นประเทศนำ (Lead country) เพื่อประสานเครือข่ายความร่วมมือทางด้านระบาดวิทยาภาคสนามกับประเทศอาเซียน +3  (จีน ญี่ปุ่น  และเกาหลี)
   ๒. เพื่อส่งเสริมความร่วมมือและความสัมพันธ์ระหว่างประเทศสมาชิกเครือข่าย ASEAN+3 FETN ในการพัฒนาศักยภาพระดับสูงของการฝึกอบรมระบาดวิทยาภาคสนามในภูมิภาคเอเชีย
   ๓. เพื่อสนับสนุนประเทศสมาชิก ASEAN+3 FETN ในการพัฒนาและปรับปรุงศักยภาพด้านระบาดวิทยาภาคสนามในประเทศของตน เพื่อสร้างความเข้มแข็งในการควบคุมและป้องกันโรคในประเทศและประเทศข้างเคียง
   ๔. เพื่อดำเนินงานตามแผนยุทธศาสตร์และแผนการดำเนินงาน 4 ปี ของ ASEAN+3 FETN (Strategic Plan and Work Plan) รวมทั้งแผนการจัดตั้งประชาคมสังคมและวัฒนธรรมอาเซียน (ASCC Blueprint)  ข้อ B5 (Improving Capability to Control Communicable Diseases)
</t>
    </r>
    <r>
      <rPr>
        <b/>
        <sz val="12"/>
        <color rgb="FF000000"/>
        <rFont val="TH SarabunPSK"/>
        <family val="2"/>
      </rPr>
      <t>กลุ่มเป้าหมาย</t>
    </r>
    <r>
      <rPr>
        <sz val="12"/>
        <color rgb="FF000000"/>
        <rFont val="TH SarabunPSK"/>
        <family val="2"/>
      </rPr>
      <t xml:space="preserve">  : แพทย์และสัตวแพทย์ผู้เชี่ยวชาญด้านระบาดวิทยาภาคสนาม ของกรมควบคุมโรค
</t>
    </r>
    <r>
      <rPr>
        <b/>
        <sz val="12"/>
        <color rgb="FF000000"/>
        <rFont val="TH SarabunPSK"/>
        <family val="2"/>
      </rPr>
      <t xml:space="preserve">ประโยชน์ที่คาดว่าจะได้รับ </t>
    </r>
    <r>
      <rPr>
        <u/>
        <sz val="12"/>
        <color rgb="FF000000"/>
        <rFont val="TH SarabunPSK"/>
        <family val="2"/>
      </rPr>
      <t xml:space="preserve">
</t>
    </r>
    <r>
      <rPr>
        <sz val="12"/>
        <color rgb="FF000000"/>
        <rFont val="TH SarabunPSK"/>
        <family val="2"/>
      </rPr>
      <t xml:space="preserve">   ๑. บุคลากรของกรมควบคุมโรคได้รับการพัฒนาศักยภาพเพื่อเป็นผู้เชี่ยวชาญในระดับนานาชาติ ซึ่งจะทำให้ประเทศไทยสามารถรักษาบทบาทนำในการดำเนินงานระบาดวิทยาของภูมิภาค 
   ๒. มีการแลกเปลี่ยนทรัพยากรร่วมกันใน ๑๓ ประเทศ ซึ่งได้แก่  เครื่องมือในการฝึกอบรมระบาดวิทยาภาคสนาม (training materials) กรณีศึกษา (case study)  หลักสูตรฝึกอบรมระยะสั้นและบุคลากร หรือผู้เชี่ยวชาญด้านระบาดวิทยาภาคสนามหลักการและเหตุผล  </t>
    </r>
  </si>
  <si>
    <r>
      <t xml:space="preserve">ประเภท .....
</t>
    </r>
    <r>
      <rPr>
        <sz val="12"/>
        <color rgb="FF0000FF"/>
        <rFont val="TH SarabunPSK"/>
        <family val="2"/>
      </rPr>
      <t>(ประเทศในกลุ่มอาเซียน)</t>
    </r>
  </si>
  <si>
    <r>
      <t xml:space="preserve">ประเภท ง </t>
    </r>
    <r>
      <rPr>
        <sz val="12"/>
        <color rgb="FF0000FF"/>
        <rFont val="TH SarabunPSK"/>
        <family val="2"/>
      </rPr>
      <t>(สาธารณรัฐฝรั่งเศส)</t>
    </r>
  </si>
  <si>
    <r>
      <t xml:space="preserve">ประเภท …..
</t>
    </r>
    <r>
      <rPr>
        <sz val="12"/>
        <color rgb="FF0000FF"/>
        <rFont val="TH SarabunPSK"/>
        <family val="2"/>
      </rPr>
      <t>(ประเทศในภูมิภาคเอเซียตะวันออกเฉียงใต้)</t>
    </r>
  </si>
  <si>
    <r>
      <t xml:space="preserve">ประเภท จ  </t>
    </r>
    <r>
      <rPr>
        <sz val="12"/>
        <color rgb="FF0000FF"/>
        <rFont val="TH SarabunPSK"/>
        <family val="2"/>
      </rPr>
      <t>(สหพันธ์สาธารณรัฐเยอรมนี)</t>
    </r>
  </si>
  <si>
    <r>
      <t xml:space="preserve">ประเภท จ
</t>
    </r>
    <r>
      <rPr>
        <sz val="12"/>
        <color rgb="FF0000FF"/>
        <rFont val="TH SarabunPSK"/>
        <family val="2"/>
      </rPr>
      <t>(สาธารณรัฐสิงคโปร์)</t>
    </r>
  </si>
  <si>
    <r>
      <t xml:space="preserve">ประเภท ก
</t>
    </r>
    <r>
      <rPr>
        <sz val="12"/>
        <color rgb="FF0000FF"/>
        <rFont val="TH SarabunPSK"/>
        <family val="2"/>
      </rPr>
      <t>(ราชอาณาจักรเดนมาร์ก)</t>
    </r>
  </si>
  <si>
    <r>
      <t xml:space="preserve">ประเภท ก
</t>
    </r>
    <r>
      <rPr>
        <sz val="12"/>
        <color rgb="FF0000FF"/>
        <rFont val="TH SarabunPSK"/>
        <family val="2"/>
      </rPr>
      <t>(ประเทศออสเตรเลีย)</t>
    </r>
  </si>
  <si>
    <r>
      <t xml:space="preserve">ประเภท ก
</t>
    </r>
    <r>
      <rPr>
        <sz val="12"/>
        <color rgb="FF0000FF"/>
        <rFont val="TH SarabunPSK"/>
        <family val="2"/>
      </rPr>
      <t>(สาธารณรัฐประชาชนจีน)</t>
    </r>
  </si>
  <si>
    <r>
      <t xml:space="preserve">ประเภท จ
</t>
    </r>
    <r>
      <rPr>
        <sz val="12"/>
        <color rgb="FF0000FF"/>
        <rFont val="TH SarabunPSK"/>
        <family val="2"/>
      </rPr>
      <t>(กรุงลอนดอน ประเทศอังกฤษ)</t>
    </r>
  </si>
  <si>
    <r>
      <t xml:space="preserve">ประเภท ....
</t>
    </r>
    <r>
      <rPr>
        <sz val="12"/>
        <color rgb="FF0000FF"/>
        <rFont val="TH SarabunPSK"/>
        <family val="2"/>
      </rPr>
      <t>(ประเทศในทวีปยุโรป/อเมริกา)</t>
    </r>
  </si>
  <si>
    <r>
      <t>ประเภท จ</t>
    </r>
    <r>
      <rPr>
        <sz val="12"/>
        <color rgb="FF0000FF"/>
        <rFont val="TH SarabunPSK"/>
        <family val="2"/>
      </rPr>
      <t xml:space="preserve">
(ประเทศสวิสเซอร์แลนด์ )</t>
    </r>
  </si>
  <si>
    <r>
      <t xml:space="preserve">ประเภท จ
</t>
    </r>
    <r>
      <rPr>
        <sz val="12"/>
        <color rgb="FF0000FF"/>
        <rFont val="TH SarabunPSK"/>
        <family val="2"/>
      </rPr>
      <t>(ประเทศสวิสเซอร์แลนด์ )</t>
    </r>
  </si>
  <si>
    <r>
      <t xml:space="preserve">ประเภท....
</t>
    </r>
    <r>
      <rPr>
        <sz val="12"/>
        <color rgb="FF0000FF"/>
        <rFont val="TH SarabunPSK"/>
        <family val="2"/>
      </rPr>
      <t>(ประเทศในกลุ่มอาเซียน)</t>
    </r>
  </si>
  <si>
    <r>
      <t xml:space="preserve">ประเภท ข
</t>
    </r>
    <r>
      <rPr>
        <sz val="12"/>
        <color rgb="FF0000FF"/>
        <rFont val="TH SarabunPSK"/>
        <family val="2"/>
      </rPr>
      <t>(สาธารณรัฐแห่งสหภาพเมียนมาร์ )</t>
    </r>
  </si>
  <si>
    <r>
      <t xml:space="preserve">ประเภท.....
</t>
    </r>
    <r>
      <rPr>
        <sz val="12"/>
        <color rgb="FF0000FF"/>
        <rFont val="TH SarabunPSK"/>
        <family val="2"/>
      </rPr>
      <t>(ประเทศในกลุ่มอาเซียน)</t>
    </r>
  </si>
  <si>
    <r>
      <t xml:space="preserve">ประเภท ข
</t>
    </r>
    <r>
      <rPr>
        <sz val="12"/>
        <color rgb="FF0000FF"/>
        <rFont val="TH SarabunPSK"/>
        <family val="2"/>
      </rPr>
      <t>(กรุงเนปิดอร์ สาธารณรัฐแห่งสหภาพเมียนม่าร์ )</t>
    </r>
  </si>
  <si>
    <r>
      <t>ประเภท .....
(</t>
    </r>
    <r>
      <rPr>
        <sz val="12"/>
        <color rgb="FF0000FF"/>
        <rFont val="TH SarabunPSK"/>
        <family val="2"/>
      </rPr>
      <t>ประเทศในภูมิภาคอาเซียน)</t>
    </r>
  </si>
  <si>
    <r>
      <t>ประเภท ….(</t>
    </r>
    <r>
      <rPr>
        <sz val="12"/>
        <color rgb="FF0000FF"/>
        <rFont val="TH SarabunPSK"/>
        <family val="2"/>
      </rPr>
      <t>ประเทศในอนุภูมิภาคลุ่มแม่น้ำโขง)</t>
    </r>
  </si>
  <si>
    <r>
      <t xml:space="preserve">ประเภท …. 
</t>
    </r>
    <r>
      <rPr>
        <sz val="12"/>
        <color rgb="FF0000FF"/>
        <rFont val="TH SarabunPSK"/>
        <family val="2"/>
      </rPr>
      <t>(ประเทศกลุ่มอาเซียน)</t>
    </r>
  </si>
  <si>
    <r>
      <t xml:space="preserve">ประเภท ง
</t>
    </r>
    <r>
      <rPr>
        <sz val="12"/>
        <color rgb="FF0000FF"/>
        <rFont val="TH SarabunPSK"/>
        <family val="2"/>
      </rPr>
      <t>(ประเทศ สมาพันธรัฐสวิส/ รัฐภาคี)</t>
    </r>
  </si>
  <si>
    <r>
      <t xml:space="preserve">ประเภท ...
</t>
    </r>
    <r>
      <rPr>
        <sz val="12"/>
        <color rgb="FF0000FF"/>
        <rFont val="TH SarabunPSK"/>
        <family val="2"/>
      </rPr>
      <t>(ประเทศกลุ่มอาเซียน)</t>
    </r>
  </si>
  <si>
    <r>
      <t xml:space="preserve">ประเภท .....
</t>
    </r>
    <r>
      <rPr>
        <sz val="12"/>
        <color rgb="FF0000FF"/>
        <rFont val="TH SarabunPSK"/>
        <family val="2"/>
      </rPr>
      <t>(ประเทศสมาชิกอาเซียน)</t>
    </r>
  </si>
  <si>
    <r>
      <t xml:space="preserve">ประเภท ง
</t>
    </r>
    <r>
      <rPr>
        <sz val="12"/>
        <color rgb="FF0000FF"/>
        <rFont val="TH SarabunPSK"/>
        <family val="2"/>
      </rPr>
      <t>(ประเทศ สมาพันธรัฐสวิส)</t>
    </r>
  </si>
  <si>
    <r>
      <t xml:space="preserve">ประเภท จ
</t>
    </r>
    <r>
      <rPr>
        <sz val="12"/>
        <color rgb="FF0000FF"/>
        <rFont val="TH SarabunPSK"/>
        <family val="2"/>
      </rPr>
      <t>(ประเทศ สหรัฐอเมริกา)</t>
    </r>
  </si>
  <si>
    <r>
      <t xml:space="preserve">ประเภท ก
</t>
    </r>
    <r>
      <rPr>
        <sz val="12"/>
        <color rgb="FF0000FF"/>
        <rFont val="TH SarabunPSK"/>
        <family val="2"/>
      </rPr>
      <t>(มณฑลกวางตุ้ง สาธารณรัฐประชาชนจีน)</t>
    </r>
  </si>
  <si>
    <r>
      <t xml:space="preserve">วัตถุประสงค์ </t>
    </r>
    <r>
      <rPr>
        <sz val="12"/>
        <color rgb="FF000000"/>
        <rFont val="TH SarabunPSK"/>
        <family val="2"/>
      </rPr>
      <t xml:space="preserve">เพื่อพัฒนาศักยภาพของบุคลากรในด้านอาชีวอนามัย และการป้องกัน และเฝ้าระวังโรคตามที่มีข้อตกลงร่วมกัน รวมทั้งเพื่อพัฒนาความร่วมมือระหว่างสองหน่วยงาน และสองประเทศ ภายใต้กรอบความร่วมมืออาเซียน+3 
</t>
    </r>
    <r>
      <rPr>
        <b/>
        <sz val="12"/>
        <color rgb="FF000000"/>
        <rFont val="TH SarabunPSK"/>
        <family val="2"/>
      </rPr>
      <t xml:space="preserve">กลุ่มเป้าหมาย : </t>
    </r>
    <r>
      <rPr>
        <sz val="12"/>
        <color rgb="FF000000"/>
        <rFont val="TH SarabunPSK"/>
        <family val="2"/>
      </rPr>
      <t xml:space="preserve">อธิบดี / ผู้อำนวยการสำนักระบาดวิทยา, สำนักโรคจากการประกอบอาชีพและสิ่งแวดล้อม, สำนักโรคเอดส์ วัณโรคและโรคติดต่อทางเพศสัมพันธ์, สถาบันราชประชาสมาสัย
</t>
    </r>
    <r>
      <rPr>
        <b/>
        <sz val="12"/>
        <color rgb="FF000000"/>
        <rFont val="TH SarabunPSK"/>
        <family val="2"/>
      </rPr>
      <t xml:space="preserve">ประโยชน์ที่คาดว่าจะได้รับ :
  </t>
    </r>
    <r>
      <rPr>
        <sz val="12"/>
        <color rgb="FF000000"/>
        <rFont val="TH SarabunPSK"/>
        <family val="2"/>
      </rPr>
      <t xml:space="preserve">1. เครือข่ายความร่วมมือในการพัฒนาองค์ความรู้ และเทคโนโลยีในการเฝ้าระวัง และป้องกันโรคจากการประกอบอาชีพ และสิ่งแวดล้อม และโรคติดต่อต่าง ๆ
  2. บุคลากรของหน่วยงาน ซึ่งได้แก่ แพทย์ พยาบาล นักวิชาการสาธารณสุข นักวิทยาศาสตร์การแพทย์ มีความรู้ความสามารถในด้านอาชีวอนามัย และการป้องกันควบคุมโรค ตามข้อตกลงร่วมกัน  </t>
    </r>
  </si>
  <si>
    <r>
      <t xml:space="preserve">ประเภท จ
</t>
    </r>
    <r>
      <rPr>
        <sz val="12"/>
        <color rgb="FF0000FF"/>
        <rFont val="TH SarabunPSK"/>
        <family val="2"/>
      </rPr>
      <t>(ประเทศสหพันธ์สาธารณรัฐเยอรมนี)</t>
    </r>
  </si>
  <si>
    <r>
      <t xml:space="preserve">ประเภท ง
</t>
    </r>
    <r>
      <rPr>
        <sz val="12"/>
        <color rgb="FF0000FF"/>
        <rFont val="TH SarabunPSK"/>
        <family val="2"/>
      </rPr>
      <t>(ประเทศสมาพันธรัฐสวิส )</t>
    </r>
  </si>
  <si>
    <r>
      <t xml:space="preserve">ประเภท ก
</t>
    </r>
    <r>
      <rPr>
        <sz val="12"/>
        <color rgb="FF0000FF"/>
        <rFont val="TH SarabunPSK"/>
        <family val="2"/>
      </rPr>
      <t>( สาธารณรัฐประชาชนจีน)</t>
    </r>
  </si>
  <si>
    <r>
      <t xml:space="preserve">วัตถุประสงค์ </t>
    </r>
    <r>
      <rPr>
        <sz val="12"/>
        <color rgb="FF000000"/>
        <rFont val="TH SarabunPSK"/>
        <family val="2"/>
      </rPr>
      <t xml:space="preserve">เพื่อพัฒนาศักยภาพของบุคลากรในด้านอาชีวอนามัย และการป้องกัน และเฝ้าระวังโรคตามที่มีข้อตกลงร่วมกัน รวมทั้งเพื่อพัฒนาความร่วมมือระหว่างสองหน่วยงาน และสองประเทศ ภายใต้กรอบความร่วมมืออาเซียน+3 
</t>
    </r>
    <r>
      <rPr>
        <b/>
        <sz val="12"/>
        <color rgb="FF000000"/>
        <rFont val="TH SarabunPSK"/>
        <family val="2"/>
      </rPr>
      <t xml:space="preserve">กลุ่มเป้าหมาย : </t>
    </r>
    <r>
      <rPr>
        <sz val="12"/>
        <color rgb="FF000000"/>
        <rFont val="TH SarabunPSK"/>
        <family val="2"/>
      </rPr>
      <t xml:space="preserve">อธิบดี / ผู้อำนวยการสำนักระบาดวิทยา, สำนักโรคเอดส์ วัณโรคและโรคติดต่อทางเพศสัมพันธ์, สำนักงานความร่วมมือระหว่างประเทศ
</t>
    </r>
    <r>
      <rPr>
        <b/>
        <sz val="12"/>
        <color rgb="FF000000"/>
        <rFont val="TH SarabunPSK"/>
        <family val="2"/>
      </rPr>
      <t xml:space="preserve">ประโยชน์ที่คาดว่าจะได้รับ :
  </t>
    </r>
    <r>
      <rPr>
        <sz val="12"/>
        <color rgb="FF000000"/>
        <rFont val="TH SarabunPSK"/>
        <family val="2"/>
      </rPr>
      <t xml:space="preserve">1. เครือข่ายความร่วมมือในการพัฒนาองค์ความรู้ และเทคโนโลยีในการเฝ้าระวัง และป้องกันโรคจากการประกอบอาชีพ และสิ่งแวดล้อม และโรคติดต่อต่าง ๆ
   2. บุคลากรของหน่วยงาน ซึ่งได้แก่ แพทย์ พยาบาล นักวิชาการสาธารณสุข นักวิทยาศาสตร์การแพทย์ มีความรู้ความสามารถในด้านอาชีวอนามัย และการป้องกันควบคุมโรค ตามข้อตกลงร่วมกัน  </t>
    </r>
  </si>
  <si>
    <r>
      <t xml:space="preserve">ประเภท จ
</t>
    </r>
    <r>
      <rPr>
        <sz val="12"/>
        <color rgb="FF0000FF"/>
        <rFont val="TH SarabunPSK"/>
        <family val="2"/>
      </rPr>
      <t>( ประเทศสหรัฐอเมริกา)</t>
    </r>
  </si>
  <si>
    <r>
      <t xml:space="preserve">ประเภท จ
</t>
    </r>
    <r>
      <rPr>
        <sz val="12"/>
        <color rgb="FF0000FF"/>
        <rFont val="TH SarabunPSK"/>
        <family val="2"/>
      </rPr>
      <t>(ประเทศสหรัฐอเมริกา)</t>
    </r>
  </si>
  <si>
    <r>
      <t xml:space="preserve">ประเภท ง
</t>
    </r>
    <r>
      <rPr>
        <sz val="12"/>
        <color rgb="FF0000FF"/>
        <rFont val="TH SarabunPSK"/>
        <family val="2"/>
      </rPr>
      <t>(ประเทศญี่ปุ่น)</t>
    </r>
  </si>
  <si>
    <r>
      <t xml:space="preserve">ประเภท ก
</t>
    </r>
    <r>
      <rPr>
        <sz val="12"/>
        <color rgb="FF0000FF"/>
        <rFont val="TH SarabunPSK"/>
        <family val="2"/>
      </rPr>
      <t>(ประเทศอินโดนีเซีย )</t>
    </r>
  </si>
  <si>
    <r>
      <t xml:space="preserve">ประเภท ก
</t>
    </r>
    <r>
      <rPr>
        <sz val="12"/>
        <color rgb="FF0000FF"/>
        <rFont val="TH SarabunPSK"/>
        <family val="2"/>
      </rPr>
      <t>(ประเทศ เกาหลีใต้)</t>
    </r>
  </si>
  <si>
    <r>
      <t xml:space="preserve">ประเภท จ
</t>
    </r>
    <r>
      <rPr>
        <sz val="12"/>
        <color rgb="FF0000FF"/>
        <rFont val="TH SarabunPSK"/>
        <family val="2"/>
      </rPr>
      <t>(ประเทศสหราชอาณาจักร)</t>
    </r>
  </si>
  <si>
    <r>
      <t xml:space="preserve">ประเภท ข </t>
    </r>
    <r>
      <rPr>
        <sz val="12"/>
        <color rgb="FF0000FF"/>
        <rFont val="TH SarabunPSK"/>
        <family val="2"/>
      </rPr>
      <t>(เมืองบันดาเสนรีเบกาวัน ประเทศบรูไน)</t>
    </r>
  </si>
  <si>
    <t>12. รายการค่าใช้จ่ายในการเดินทางไปราชการต่างประเทศ ประจำปีงบประมาณ พ.ศ. 2557</t>
  </si>
  <si>
    <t>งบประมาณค่าใช้จ่ายในการเดินทางไปราชการ</t>
  </si>
  <si>
    <t>ต่างประเทศทั้งสิ้น</t>
  </si>
  <si>
    <t>บาท</t>
  </si>
  <si>
    <t xml:space="preserve"> บาท</t>
  </si>
  <si>
    <t>คงเหลือ</t>
  </si>
  <si>
    <t xml:space="preserve"> - งบดำเนินงาน</t>
  </si>
  <si>
    <t xml:space="preserve"> - งบเงินอุดหนุน</t>
  </si>
  <si>
    <t xml:space="preserve"> - งบรายจ่ายอื่น</t>
  </si>
  <si>
    <t>หน่วย : บาท</t>
  </si>
  <si>
    <t>ไตรมาส</t>
  </si>
  <si>
    <t>กลุ่มเป้าหมาย</t>
  </si>
  <si>
    <t>รวมจำนวนโครงการ</t>
  </si>
  <si>
    <t>จำนวนวัน</t>
  </si>
  <si>
    <t>ค่าใช้จ่ายต่อวัน</t>
  </si>
  <si>
    <t>รวมงบประมาณ</t>
  </si>
  <si>
    <t>ผลลัพธ์ที่คาดว่าจะได้รับ</t>
  </si>
  <si>
    <t>วิธีการวัดผลโครงการ</t>
  </si>
  <si>
    <t>ผู้บริหาร / ผู้แทนกรมควบคุมโรค</t>
  </si>
  <si>
    <t xml:space="preserve">   1. ผู้บริหารกรมควบคุมโรคซึ่งเป็นผู้แทนประเทศไทยได้เข้าร่วมเจรจา นำเสนอประเด็นปัญหาและนโยบายตลอดจนรับรองมติหรือข้อตกลงความร่วมมือในการป้องกันแก้ไขปัญหาโรคและภัยสุขภาพในส่วนที่เกี่ยวข้อง
   2. นำกรอบการดำเนินงานที่ได้จากมติหรือข้อตกลงทั้งในลักษณะทวิภาคีและพหุภาคี ระดับภูมิภาคและระดับโลกมาผลักดันให้เกิดการปฏิบัติเพื่อป้องกันและแก้ไขปัญหาโรคและภัยสุขภาพต่อไป</t>
  </si>
  <si>
    <t xml:space="preserve">   1. เอกสารรายงาน/ข้อมูลที่ประเทศไทยนำเสนอในที่ประชุม
   2. สรุปรายงานการประชุม ผลการเจรจาหรือข้อตกลงหรือความร่วมมือหรือกรอบการดำเนินงานที่ได้จากการประชุม</t>
  </si>
  <si>
    <t xml:space="preserve">2. การพัฒนาความร่วมมือด้านการป้องกัน และควบคุมโรค ระหว่างกรมควบคุมโรค และมณฑลกวางสี  สาธารณรัฐประชาชนจีน </t>
  </si>
  <si>
    <r>
      <t>3. การประชุม  17</t>
    </r>
    <r>
      <rPr>
        <vertAlign val="superscript"/>
        <sz val="14"/>
        <color rgb="FF000000"/>
        <rFont val="TH SarabunPSK"/>
        <family val="2"/>
      </rPr>
      <t>th</t>
    </r>
    <r>
      <rPr>
        <sz val="14"/>
        <color rgb="FF000000"/>
        <rFont val="TH SarabunPSK"/>
        <family val="2"/>
      </rPr>
      <t xml:space="preserve"> Brunei Darussalam -Indonesia-Malaysia-Singapore-Thailand (BIMST) Public Health Conference</t>
    </r>
  </si>
  <si>
    <t>แพทย์ และนักวิชาการสาธารณสุข</t>
  </si>
  <si>
    <r>
      <t>1. การประชุมเรื่อง 44</t>
    </r>
    <r>
      <rPr>
        <vertAlign val="superscript"/>
        <sz val="14"/>
        <color rgb="FF000000"/>
        <rFont val="TH SarabunPSK"/>
        <family val="2"/>
      </rPr>
      <t>rd</t>
    </r>
    <r>
      <rPr>
        <sz val="14"/>
        <color rgb="FF000000"/>
        <rFont val="TH SarabunPSK"/>
        <family val="2"/>
      </rPr>
      <t xml:space="preserve"> Union World Conference on Lung Health</t>
    </r>
  </si>
  <si>
    <t xml:space="preserve">   1. นักวิชาการมีโอกาสร่วมประชุมวิชาการในระดับนานาชาติ การนำเสนอและเผยแพร่ข้อมูลด้านวิชาการของประเทศไทย และนำองค์ความรู้ใหม่ ๆ มาประยุกต์ใช้ให้องค์กรมีการพัฒนาทางด้านวิชาการต่อไป
   2. เกิดการแลกเปลี่ยนองค์ความรู้ และแนวทางการกำหนดยุทธศาสตร์การป้องกันควบคุมโรค
   3. เกิดความร่วมมือในการกำหนดเกณฑ์มาตรฐานการดำเนินงานให้เป็นไปตามหลักมาตรฐานสากล
   4. พัฒนาทักษะในการเข้าร่วมประชุมและการนำเสนอข้อมูลวิชาการในระดับนานาชาติ</t>
  </si>
  <si>
    <t xml:space="preserve">   1. ผู้เข้าร่วมประชุมจัดส่งเอกสารวิชาการที่นำเสนอในที่ประชุมวิชาการเสนอต่อกรมควบคุมโรค
   2. ผู้เข้าร่วมประชุมจัดทำสรุปรายงานและข้อเสนอแนะในการพัฒนา/ปรับปรุงงานด้านการป้องกันควบคุมโรคเสนอกรมควบคุมโรค</t>
  </si>
  <si>
    <t>2. การประชุมเรื่อง "World Conference on Drowing Prevention 2013"</t>
  </si>
  <si>
    <r>
      <t>3. การประชุม "The 45</t>
    </r>
    <r>
      <rPr>
        <vertAlign val="superscript"/>
        <sz val="14"/>
        <color rgb="FF000000"/>
        <rFont val="TH SarabunPSK"/>
        <family val="2"/>
      </rPr>
      <t>th</t>
    </r>
    <r>
      <rPr>
        <sz val="14"/>
        <color rgb="FF000000"/>
        <rFont val="TH SarabunPSK"/>
        <family val="2"/>
      </rPr>
      <t xml:space="preserve"> Asia-Pacific Academic Consortium for Public Health Conference 2013"</t>
    </r>
  </si>
  <si>
    <t>4. การประชุม  The International Conference on Chemicals Management (ICCM)</t>
  </si>
  <si>
    <r>
      <t>5. การประชุมเรื่อง 8</t>
    </r>
    <r>
      <rPr>
        <vertAlign val="superscript"/>
        <sz val="14"/>
        <color rgb="FF000000"/>
        <rFont val="TH SarabunPSK"/>
        <family val="2"/>
      </rPr>
      <t>th</t>
    </r>
    <r>
      <rPr>
        <sz val="14"/>
        <color rgb="FF000000"/>
        <rFont val="TH SarabunPSK"/>
        <family val="2"/>
      </rPr>
      <t xml:space="preserve"> Annual Scientific International Leptosprirosis Socieity</t>
    </r>
  </si>
  <si>
    <t>6. การประชุมเรื่อง The Global Alcohol Policy Conference 2013</t>
  </si>
  <si>
    <t>1. โครงการประชุมคณะทำงานวิชาการอาเซียนด้านการเตรียมความพร้อมและตอบโต้การระบาดใหญ่ของโรคไข้หวัดใหญ่  (ASEAN Technical Working Group on Pandemic Preparedness and Response-ATWGPPR)</t>
  </si>
  <si>
    <t>2. การประชุมคณะกรรมการองค์การอนามัยโลก (Executive Board) ครั้งที่ 134  พ.ศ.2557</t>
  </si>
  <si>
    <t>3. การประชุม ACMECS SOM และ ACMECS Summit</t>
  </si>
  <si>
    <r>
      <t>4. การประชุมผู้ประสานการงานด้านการควบคุมยาสูบภูมิภาคอาเซียน ครั้งที่ 5 (5</t>
    </r>
    <r>
      <rPr>
        <vertAlign val="superscript"/>
        <sz val="14"/>
        <color rgb="FF000000"/>
        <rFont val="TH SarabunPSK"/>
        <family val="2"/>
      </rPr>
      <t>th</t>
    </r>
    <r>
      <rPr>
        <sz val="14"/>
        <color rgb="FF000000"/>
        <rFont val="TH SarabunPSK"/>
        <family val="2"/>
      </rPr>
      <t xml:space="preserve"> AFPTC: ASEAN Focal Point on Tobacco Control)</t>
    </r>
  </si>
  <si>
    <t>5. โครงประชุมการประชุมคณะทำงานเรื่องโรคไม่ติดต่อของอาเซี่ยน  ( ASEAN  Task  Force on Non-communicable diseases - AFNCD )</t>
  </si>
  <si>
    <t xml:space="preserve">6. การประชุมคณะทำงานในแผนงานอนุภูมิภาคลุ่มน้ำโขง ( GMS) </t>
  </si>
  <si>
    <t>7. การประชุมความร่วมมือด้านอาชีวอนามัย และการป้องกันควบคุมโรค ตามข้อตกลงความร่วมมือระหว่างประเทศไทยและจีน</t>
  </si>
  <si>
    <t>8. การพัฒนาความร่วมมือในการป้องกันควบคุมโรคระหว่างกรมควบคุมโรค และ Public Health England (PHE)</t>
  </si>
  <si>
    <t>9. การประชุมคณะทำงานในแผนการดำเนินงานด้านเอชไอวี และเอดส์ ในภูมิภาคเอเชียตะวันออกเฉียงใต้ ระยะที่ 4 (AWP IV 2011-2015)  ภายใต้คณะทำงานด้านโรคเอดส์ของอาเซียน (ASEAN Task Force on AIDS)</t>
  </si>
  <si>
    <t xml:space="preserve">1. โครงการพัฒนาเครือข่ายด้านฝึกอบรมระบาดวิทยาภาคสนาม ภายใต้กรอบอาเซียน+3 (ASEAN+3 FETN) (ปีที่ 3) </t>
  </si>
  <si>
    <t xml:space="preserve">  1. นักวิชาการมีโอกาสร่วมประชุมวิชาการในระดับนานาชาติ การนำเสนอและเผยแพร่ข้อมูลด้านวิชาการของประเทศไทย และนำองค์ความรู้ใหม่ ๆ มาประยุกต์ใช้ให้องค์กรมีการพัฒนาทางด้านวิชาการต่อไป
   2. เกิดการแลกเปลี่ยนองค์ความรู้ และแนวทางการกำหนดยุทธศาสตร์การป้องกันควบคุมโรค
   3. เกิดความร่วมมือในการกำหนดเกณฑ์มาตรฐานการดำเนินงานให้เป็นไปตามหลักมาตรฐานสากล
   4. พัฒนาทักษะในการเข้าร่วมประชุมและการนำเสนอข้อมูลวิชาการในระดับนานาชาติ</t>
  </si>
  <si>
    <t>2. การประชุมเรื่อง "Hand to Hand Combat Against Obesity"</t>
  </si>
  <si>
    <r>
      <t>3.การประชุม "19</t>
    </r>
    <r>
      <rPr>
        <vertAlign val="superscript"/>
        <sz val="14"/>
        <color rgb="FF000000"/>
        <rFont val="TH SarabunPSK"/>
        <family val="2"/>
      </rPr>
      <t>th</t>
    </r>
    <r>
      <rPr>
        <sz val="14"/>
        <color rgb="FF000000"/>
        <rFont val="TH SarabunPSK"/>
        <family val="2"/>
      </rPr>
      <t xml:space="preserve"> International Coference of the European Society of Vector Ecology (E-SOVE)"</t>
    </r>
  </si>
  <si>
    <t>4. โครงการฝึกอบรม/ปฏิบัติงานด้านระบาดวิทยา ระยะสั้น 1 เดือน สำหรับแพทย์และสัตว์แพทย์ผู้เชี่ยวชาญด้านระบาดวิทยาภาคสนาม ณ ต่างประเทศ</t>
  </si>
  <si>
    <t>5. การประชุมประสานความร่วมมือและบูรณาการการทำงานร่วมกันของผู้ปฏิบัติงานด่านควบคุมโรคของประเทศไทยและประเทศอินโดนีเซียในการป้องกันและควบคุมโรคติดต่อระหว่างประเทศ</t>
  </si>
  <si>
    <t>6. APEC Wine Regulatory Forum – Public-Private Dialogue:Risk Management and Certification Requirements for Regional Trade in Wine</t>
  </si>
  <si>
    <t xml:space="preserve">1. การประชุมสมัชชาอนามัยโลก (WHA) สมัยที่ 67  และการประชุมเพื่อดำเนินการตามมติของการประชุมสมัชชาอนามัยโลกสมัยที่ผ่านมา </t>
  </si>
  <si>
    <t xml:space="preserve">2. การประชุมความร่วมมือระหว่างประเทศไทย และประเทศพม่า ในการเฝ้าระวัง ป้องกัน และควบคุมโรคติดต่อชายแดน </t>
  </si>
  <si>
    <t xml:space="preserve">3. การประชุมยกร่างแนวทางปฏิบัติตามกรอบอนุสัญญาว่าด้วยการควบคุมยาสูบข้อ 6  ของ WHO FCTC </t>
  </si>
  <si>
    <t xml:space="preserve">4. การประชุมยกร่างแนวทางปฏิบัติตามกรอบอนุสัญญาว่าด้วยการควบคุมยาสูบข้อ 9 และ 10  ของWHO FCTC </t>
  </si>
  <si>
    <t xml:space="preserve">5. การประชุมยกร่างแนวทางปฏิบัติตามกรอบอนุสัญญาว่าด้วยการควบคุมยาสูบข้อ 19 ของWHO FCTC </t>
  </si>
  <si>
    <t>6. การประชุมคณะทำงานสนับสนุนการปฏิบัติตามกรอบอนุสัญญาว่าด้วยการควบคุมยาสูบ (MOA)</t>
  </si>
  <si>
    <t xml:space="preserve">7. การประชุมเชิงปฏิบัติการยกร่างนโยบายประเทศภูมิภาคอาเซียนจากการแทรกแซงโดยอุตสาหกรรมยาสูบ (Workshop on Preparation of a unified ASEAN Policy  to Protect Tobacco Control Policy from Tobacco Industry interference) </t>
  </si>
  <si>
    <t>8. โครงประชุม Roll Back Malaria Partnership Executive Board ครั้งที่ 26</t>
  </si>
  <si>
    <t xml:space="preserve">9. การพัฒนาความร่วมมือด้านการป้องกัน และควบคุมโรค ระหว่างกรมควบคุมโรค และมณฑลเทียนจิน  สาธารณรัฐประชาชนจีน </t>
  </si>
  <si>
    <r>
      <t>1. การประชุมเรื่อง 10</t>
    </r>
    <r>
      <rPr>
        <vertAlign val="superscript"/>
        <sz val="14"/>
        <color rgb="FF000000"/>
        <rFont val="TH SarabunPSK"/>
        <family val="2"/>
      </rPr>
      <t>th</t>
    </r>
    <r>
      <rPr>
        <sz val="14"/>
        <color rgb="FF000000"/>
        <rFont val="TH SarabunPSK"/>
        <family val="2"/>
      </rPr>
      <t xml:space="preserve"> Meeting of the National LF Programme Managers</t>
    </r>
  </si>
  <si>
    <t xml:space="preserve"> 1. นักวิชาการมีโอกาสร่วมประชุมวิชาการในระดับนานาชาติ การนำเสนอและเผยแพร่ข้อมูลด้านวิชาการของประเทศไทย และนำองค์ความรู้ใหม่ ๆ มาประยุกต์ใช้ให้องค์กรมีการพัฒนาทางด้านวิชาการต่อไป
   2. เกิดการแลกเปลี่ยนองค์ความรู้ และแนวทางการกำหนดยุทธศาสตร์การป้องกันควบคุมโรค
   3. เกิดความร่วมมือในการกำหนดเกณฑ์มาตรฐานการดำเนินงานให้เป็นไปตามหลักมาตรฐานสากล
   4. พัฒนาทักษะในการเข้าร่วมประชุมและการนำเสนอข้อมูลวิชาการในระดับนานาชาติ</t>
  </si>
  <si>
    <t xml:space="preserve">2. การประชุมเพื่อการดำเนินงาน ASEAN Dengue Day </t>
  </si>
  <si>
    <t xml:space="preserve">3. โครงการประชุม/อบรม เรื่อง อาชีว อนามัยในแรงงานนอกระบบของ ILO </t>
  </si>
  <si>
    <t>1. การประชุมนานาชาติว่าด้วยโรคเอดส์ (World AIDS Conference-The 20th International AIDS Conference -AIDS 2014)</t>
  </si>
  <si>
    <t>1. เอกสารรายงาน/ข้อมูลที่ประเทศไทยนำเสนอในที่ประชุม
   2. สรุปรายงานการประชุม ผลการเจรจาหรือข้อตกลงหรือความร่วมมือหรือกรอบการดำเนินงานที่ได้จากการประชุม</t>
  </si>
  <si>
    <t>2. โครงการพัฒนาศักยภาพบุคลากรด้านการพัฒนานโยบายการเฝ้าระวัง ป้องกัน ควบคุมโรคและภัยสุขภาพ เพื่อตอบโต้ภาวะฉุกเฉินด้านการแพทย์และสาธารณสุข</t>
  </si>
  <si>
    <t>1. การประชุมเรื่อง "International Conference on NCD Behavioural Risk Factor Surveillance 2013"</t>
  </si>
  <si>
    <r>
      <t>2. การประชุม เรื่อง  8</t>
    </r>
    <r>
      <rPr>
        <vertAlign val="superscript"/>
        <sz val="14"/>
        <color rgb="FF000000"/>
        <rFont val="TH SarabunPSK"/>
        <family val="2"/>
      </rPr>
      <t>th</t>
    </r>
    <r>
      <rPr>
        <sz val="14"/>
        <color rgb="FF000000"/>
        <rFont val="TH SarabunPSK"/>
        <family val="2"/>
      </rPr>
      <t xml:space="preserve"> Global Alliance to Eliminate Lymphatic Filariasis </t>
    </r>
  </si>
  <si>
    <t>3. โครงการประชุมคณะทำงานเรื่องโรคเอดส์ระดับภูมิภาคเอเซียตะวันออกเฉียงใต้ ครั้งที่ 20</t>
  </si>
  <si>
    <t>4. การอบรมเรื่อง Humantarian Emergency in Large Population</t>
  </si>
  <si>
    <t>รวมทั้งสิ้น.......................  โครงการ                รวมเป็นเงินทั้งสิ้น</t>
  </si>
  <si>
    <t xml:space="preserve">     - งบดำเนินงาน</t>
  </si>
  <si>
    <t xml:space="preserve">     - งบเงินอุดหนุน</t>
  </si>
  <si>
    <t xml:space="preserve">     - งบรายจ่ายอื่น</t>
  </si>
  <si>
    <t>คำชี้แจง 
(เหตุผลความจำเป็น
และผลประโยชน์ที่จะได้รับ)</t>
  </si>
  <si>
    <t>1. โครงการ...</t>
  </si>
  <si>
    <t>1. รายละเอียดโครงการให้แนบท้ายแบบฟอร์มนี้ (โดยแสดงเหตุผลความจำเป็นและประโยชน์ที่คาดว่าจะได้รับอย่างชัดเจน)</t>
  </si>
  <si>
    <t>3. กลุ่มประเทศ ให้ระบุว่าเป็น ประเภท ก   ประเภท ข   ประเภท ค   ประเภท ง   ประเภท จ</t>
  </si>
  <si>
    <t xml:space="preserve">4. ค่าโดยสารเครื่องบิน ให้ระบุข้อมูลประกอบการพิจารณาความเหมาะสมของอัตราค่าโดยสารเครื่องบินที่เสนอตั้ง </t>
  </si>
  <si>
    <t xml:space="preserve">   4.1 ค่าใช้จ่ายในการเดินทางไปราชการ ณ เมือง/รัฐ............ประเทศ................... </t>
  </si>
  <si>
    <t>กรมควบคุมโรค
หน่วยงาน...</t>
  </si>
  <si>
    <t>หน่วยงาน...</t>
  </si>
  <si>
    <t>ประเภทกลุ่มเป้าหมาย</t>
  </si>
  <si>
    <t>จำนวน (คน)</t>
  </si>
  <si>
    <t xml:space="preserve">งบประมาณค่าใช้จ่ายในการเดินทาง
ไปราชการต่างประเทศฯ ทั้งสิ้น            </t>
  </si>
  <si>
    <t xml:space="preserve">บาท </t>
  </si>
  <si>
    <t xml:space="preserve"> เสนอปรับลด</t>
  </si>
  <si>
    <t>ยุทธศาสตร์/แผนงาน/ผลผลิต/โครงการ/
กิจกรรม/งบรายจ่าย/รายการ</t>
  </si>
  <si>
    <t>จ่ายจริง</t>
  </si>
  <si>
    <t>จำนวน
คน</t>
  </si>
  <si>
    <t>จำนวน
วัน</t>
  </si>
  <si>
    <t>*ประเภทการประชุม
(โปรดระบุ)</t>
  </si>
  <si>
    <t xml:space="preserve">พันธกรณีข้อตกลง
</t>
  </si>
  <si>
    <t>ประเทศ / กลุ่มประเทศ
(ระบุ)</t>
  </si>
  <si>
    <t>มี</t>
  </si>
  <si>
    <t>ไม่มี</t>
  </si>
  <si>
    <t>กลุ่มประเทศ
(ก/ข/ค/ง/จ)</t>
  </si>
  <si>
    <t>ยุทธศาสตร์...</t>
  </si>
  <si>
    <t>แผนงานยุทธศาสตร์...</t>
  </si>
  <si>
    <t>ผลผลิต/โครงการ ...</t>
  </si>
  <si>
    <t>กิจกรรม ...</t>
  </si>
  <si>
    <t>งบรายจ่าย ...</t>
  </si>
  <si>
    <t>1. รายการ...</t>
  </si>
  <si>
    <t>วัตถุประสงค์</t>
  </si>
  <si>
    <t xml:space="preserve">    - ค่าเบี้ยเลี้ยง (ระบุตำแหน่ง...)</t>
  </si>
  <si>
    <t xml:space="preserve">    - ค่าที่พัก (ระบุตำแหน่ง...)</t>
  </si>
  <si>
    <t>ผลประโยชน์ที่จะได้รับ</t>
  </si>
  <si>
    <t xml:space="preserve">    - ค่าพาหนะ </t>
  </si>
  <si>
    <t xml:space="preserve">           - ค่าโดยสารเครื่องบิน (ระบุตำแหน่ง...)</t>
  </si>
  <si>
    <t xml:space="preserve">           - ค่าธรรมเนียม</t>
  </si>
  <si>
    <t xml:space="preserve">           - ค่าแท็กซี่</t>
  </si>
  <si>
    <t xml:space="preserve">           - อื่นๆ (ระบุ)...</t>
  </si>
  <si>
    <t xml:space="preserve">    - ค่าเครื่องแต่งตัว (ระบุตำแหน่ง...)</t>
  </si>
  <si>
    <t xml:space="preserve">    - อื่น ๆ … (โปรดระบุรายละเอียด)</t>
  </si>
  <si>
    <t>...</t>
  </si>
  <si>
    <r>
      <rPr>
        <b/>
        <sz val="14"/>
        <color rgb="FF000000"/>
        <rFont val="TH SarabunPSK"/>
        <family val="2"/>
      </rPr>
      <t>เบิกจ่าย
(ณ .................)</t>
    </r>
  </si>
  <si>
    <r>
      <t xml:space="preserve">(ใส่เครื่องหมาย </t>
    </r>
    <r>
      <rPr>
        <b/>
        <sz val="14"/>
        <color rgb="FF000000"/>
        <rFont val="Symbol"/>
        <family val="1"/>
        <charset val="2"/>
      </rPr>
      <t>Ö</t>
    </r>
    <r>
      <rPr>
        <b/>
        <sz val="14"/>
        <color rgb="FF000000"/>
        <rFont val="TH SarabunPSK"/>
        <family val="2"/>
      </rPr>
      <t>)</t>
    </r>
  </si>
  <si>
    <t xml:space="preserve"> หน่วย : บาท </t>
  </si>
  <si>
    <t>2. ประเภทการประชุม ให้ระบุประเภทการประชุม เช่น  ประชุมสัมมนา / เจรจาธุรกิจ / ปรึกษาหารือ / ดูงาน / ตรวจบัญชี เป็นต้น และให้ระบุด้วยว่าเป็น กรณีที่มีพันธกรณีข้อตกลงกับองค์กรระหว่างประเทศ   หรือกรณีที่ไม่มีพันธกรณีข้อตกลง</t>
  </si>
  <si>
    <t xml:space="preserve">   4.2 ที่มาของข้อมูลค่าใช้จ่าย  เช่น   (1) อ้างอิงจากสายการบิน....................ณ วันที่.......................................          (2) ข้อมูลการใช้จริง ณ ช่วงเวลาระหว่างวันที่...............................ถึงวันที่..................................  </t>
  </si>
  <si>
    <t xml:space="preserve"> สรุปค่าใช้จ่ายในการเดินทางไปราชการต่างประเทศชั่วคราวและค่าใช้จ่ายในการเจรจาและประชุมนานาชาติ ประจำปีงบประมาณ พ.ศ. 2566</t>
  </si>
  <si>
    <t>ค่าใช้จ่ายในการเดินทางไปราชการต่างประเทศชั่วคราวและค่าใช้จ่ายในการเจรจาและประชุมนานาชาติ  ประจำปีงบประมาณ พ.ศ. 2566</t>
  </si>
  <si>
    <t>รายละเอียดงบประมาณปี 2566</t>
  </si>
  <si>
    <t>งบประมาณปี 2565</t>
  </si>
  <si>
    <t>งบประมาณปี 2564</t>
  </si>
  <si>
    <t xml:space="preserve">ค่าหนังสือเดินทางราชการ </t>
  </si>
  <si>
    <t>งบประมาณหมวดงบรายจ่ายอื่น สำหรับค่าใช้จ่ายในการเดินทางไปราชการต่างประเทศชั่วคราว</t>
  </si>
  <si>
    <t>รายละเอียดค่าใช้จ่ายในการเดินทางไปราชการต่างประเทศ เรื่อง …………………………………….
ณ   ประเทศ…………………….. ประมาณเดือน……………………………. (รวมระยะเวลาเดินทางประมาณ  …………………………...วัน)</t>
  </si>
  <si>
    <t>คำขอแผนงานและวงเงินค่าใช้จ่ายในการเดินทางไปราชการต่างประเทศชั่วคราว ปีงบประมาณ พ.ศ. 2569
 กรมควบคุมโรค  กระทรวงสาธารณสุข</t>
  </si>
  <si>
    <t xml:space="preserve">ปี 2569
คำขอ </t>
  </si>
  <si>
    <t>ปี 2568
ได้รับจัดสรร</t>
  </si>
  <si>
    <t>ปี 2567
จ่ายจริง</t>
  </si>
  <si>
    <t>ประเภทโครงการ</t>
  </si>
  <si>
    <t>นำเสนอผลงาน</t>
  </si>
  <si>
    <t>แบบ Oral</t>
  </si>
  <si>
    <t>แบบ Poster</t>
  </si>
  <si>
    <t>ผ่าน DDC Clearance</t>
  </si>
  <si>
    <t>ไม่ผ่าน DDC Clearance</t>
  </si>
  <si>
    <t>ประชุมเสวนา เช่น ร่วมอภิปราย/วิทยากร</t>
  </si>
  <si>
    <t>ประชุมวิชาการและศึกษาดูงาน</t>
  </si>
  <si>
    <t>ตามภารกิจกรมควบคุมโรค</t>
  </si>
  <si>
    <t>ย.1</t>
  </si>
  <si>
    <t>ย.2</t>
  </si>
  <si>
    <t>ย.3</t>
  </si>
  <si>
    <t>ลงนามความร่วมมือ MOU</t>
  </si>
  <si>
    <t>อบรมตามมติ ครม.</t>
  </si>
  <si>
    <r>
      <t>1. เหตุผลความจำเป็น</t>
    </r>
    <r>
      <rPr>
        <sz val="16"/>
        <color rgb="FF000000"/>
        <rFont val="TH SarabunPSK"/>
        <family val="2"/>
      </rPr>
      <t xml:space="preserve"> 
</t>
    </r>
    <r>
      <rPr>
        <b/>
        <sz val="16"/>
        <color rgb="FF000000"/>
        <rFont val="TH SarabunPSK"/>
        <family val="2"/>
      </rPr>
      <t>2. วัตถุประสงค์</t>
    </r>
    <r>
      <rPr>
        <sz val="16"/>
        <color rgb="FF000000"/>
        <rFont val="TH SarabunPSK"/>
        <family val="2"/>
      </rPr>
      <t xml:space="preserve">   
</t>
    </r>
    <r>
      <rPr>
        <b/>
        <sz val="16"/>
        <color rgb="FF000000"/>
        <rFont val="TH SarabunPSK"/>
        <family val="2"/>
      </rPr>
      <t>3. ผลประโยชน์ที่จะได้รับ</t>
    </r>
    <r>
      <rPr>
        <sz val="16"/>
        <color rgb="FF000000"/>
        <rFont val="TH SarabunPSK"/>
        <family val="2"/>
      </rPr>
      <t xml:space="preserve"> 
</t>
    </r>
    <r>
      <rPr>
        <b/>
        <sz val="14"/>
        <color rgb="FF000000"/>
        <rFont val="Angsana New"/>
        <family val="1"/>
      </rPr>
      <t/>
    </r>
  </si>
  <si>
    <r>
      <t>ค่าที่พัก</t>
    </r>
    <r>
      <rPr>
        <b/>
        <sz val="16"/>
        <color rgb="FFFF0000"/>
        <rFont val="TH SarabunPSK"/>
        <family val="2"/>
      </rPr>
      <t xml:space="preserve"> (ประเภท ก)</t>
    </r>
  </si>
  <si>
    <t xml:space="preserve">บทบาทหน้าที่ในการเดินทางร่วมกับคณะ </t>
  </si>
  <si>
    <t xml:space="preserve">กรณีจำเป็นต้องทำ ไม่มีหรือหนังสือหมดอายุ </t>
  </si>
  <si>
    <t>ตามกรอบความร่วมมือระหว่างประเทศ (โปรดระบุ)…...................................................................................</t>
  </si>
  <si>
    <t>ย.4                      ย.5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</si>
</sst>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87" formatCode="_-* #,##0_-;\-* #,##0_-;_-* &quot;-&quot;??_-;_-@_-"/>
    <numFmt numFmtId="188" formatCode="#,##0.0000,,"/>
    <numFmt numFmtId="189" formatCode="_-* #,##0.0000_-;\-* #,##0.0000_-;_-* &quot;-&quot;??_-;_-@_-"/>
    <numFmt numFmtId="190" formatCode="_-* #,##0.00000_-;\-* #,##0.00000_-;_-* &quot;-&quot;??_-;_-@_-"/>
    <numFmt numFmtId="191" formatCode="0.0000"/>
    <numFmt numFmtId="192" formatCode="0.00000"/>
    <numFmt numFmtId="193" formatCode="0.000"/>
    <numFmt numFmtId="194" formatCode="0.000000"/>
    <numFmt numFmtId="195" formatCode="_-* #,##0.000000_-;\-* #,##0.000000_-;_-* &quot;-&quot;??_-;_-@_-"/>
    <numFmt numFmtId="196" formatCode="_-* #,##0.000000000_-;\-* #,##0.000000000_-;_-* &quot;-&quot;??_-;_-@_-"/>
    <numFmt numFmtId="197" formatCode="#,##0.0000_ ;\-#,##0.0000\ "/>
  </numFmts>
  <fonts count="92">
    <font>
      <sz val="11"/>
      <color rgb="FF000000"/>
      <name val="Tahoma"/>
      <family val="2"/>
      <charset val="222"/>
    </font>
    <font>
      <sz val="11"/>
      <color rgb="FF000000"/>
      <name val="Tahoma"/>
      <family val="2"/>
      <charset val="222"/>
    </font>
    <font>
      <sz val="16"/>
      <color rgb="FF0000FF"/>
      <name val="TH SarabunPSK"/>
      <family val="2"/>
    </font>
    <font>
      <sz val="16"/>
      <color rgb="FF000000"/>
      <name val="TH SarabunPSK"/>
      <family val="2"/>
    </font>
    <font>
      <sz val="16"/>
      <color rgb="FF000000"/>
      <name val="Angsana New"/>
      <family val="1"/>
    </font>
    <font>
      <sz val="14"/>
      <color rgb="FF0000FF"/>
      <name val="TH SarabunPSK"/>
      <family val="2"/>
    </font>
    <font>
      <b/>
      <sz val="16"/>
      <color rgb="FF000000"/>
      <name val="TH SarabunPSK"/>
      <family val="2"/>
    </font>
    <font>
      <b/>
      <u/>
      <sz val="16"/>
      <color rgb="FF0000FF"/>
      <name val="TH SarabunPSK"/>
      <family val="2"/>
    </font>
    <font>
      <u/>
      <sz val="16"/>
      <color rgb="FF0000FF"/>
      <name val="TH SarabunPSK"/>
      <family val="2"/>
    </font>
    <font>
      <b/>
      <u/>
      <sz val="14"/>
      <color rgb="FF0000FF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rgb="FF0000FF"/>
      <name val="TH SarabunPSK"/>
      <family val="2"/>
    </font>
    <font>
      <sz val="14"/>
      <color rgb="FF0000FF"/>
      <name val="TH SarabunPSK"/>
      <family val="2"/>
    </font>
    <font>
      <sz val="16"/>
      <color rgb="FF0000FF"/>
      <name val="Tahoma"/>
      <family val="2"/>
      <charset val="222"/>
    </font>
    <font>
      <b/>
      <sz val="18"/>
      <color rgb="FF000000"/>
      <name val="TH SarabunPSK"/>
      <family val="2"/>
    </font>
    <font>
      <sz val="8"/>
      <color rgb="FF000000"/>
      <name val="Tahoma"/>
      <family val="2"/>
      <charset val="222"/>
    </font>
    <font>
      <b/>
      <sz val="14"/>
      <color rgb="FF000000"/>
      <name val="Angsana New"/>
      <family val="1"/>
    </font>
    <font>
      <sz val="10"/>
      <color rgb="FF000000"/>
      <name val="Arial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222"/>
    </font>
    <font>
      <sz val="11"/>
      <color rgb="FF000000"/>
      <name val="TH SarabunPSK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H SarabunPSK"/>
      <family val="2"/>
    </font>
    <font>
      <sz val="14"/>
      <color rgb="FF000000"/>
      <name val="Cordia New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  <charset val="222"/>
      <scheme val="minor"/>
    </font>
    <font>
      <b/>
      <sz val="12"/>
      <color rgb="FF000000"/>
      <name val="TH SarabunPSK"/>
      <family val="2"/>
    </font>
    <font>
      <b/>
      <sz val="12"/>
      <color rgb="FF0000FF"/>
      <name val="TH SarabunPSK"/>
      <family val="2"/>
    </font>
    <font>
      <u/>
      <sz val="12"/>
      <color rgb="FF000000"/>
      <name val="TH SarabunPSK"/>
      <family val="2"/>
    </font>
    <font>
      <u/>
      <sz val="11"/>
      <color rgb="FF000000"/>
      <name val="TH SarabunPSK"/>
      <family val="2"/>
    </font>
    <font>
      <b/>
      <sz val="11"/>
      <color rgb="FF000000"/>
      <name val="TH SarabunPSK"/>
      <family val="2"/>
    </font>
    <font>
      <sz val="11"/>
      <color rgb="FF000000"/>
      <name val="TH SarabunPSK"/>
      <family val="2"/>
    </font>
    <font>
      <b/>
      <vertAlign val="superscript"/>
      <sz val="12"/>
      <color rgb="FF000000"/>
      <name val="TH SarabunPSK"/>
      <family val="2"/>
    </font>
    <font>
      <b/>
      <sz val="12"/>
      <color rgb="FF000000"/>
      <name val="TH SarabunPSK"/>
      <family val="2"/>
    </font>
    <font>
      <sz val="12"/>
      <color rgb="FF0000FF"/>
      <name val="TH SarabunPSK"/>
      <family val="2"/>
    </font>
    <font>
      <sz val="12"/>
      <color rgb="FFC00000"/>
      <name val="TH SarabunPSK"/>
      <family val="2"/>
    </font>
    <font>
      <sz val="11"/>
      <color rgb="FFC00000"/>
      <name val="TH SarabunPSK"/>
      <family val="2"/>
    </font>
    <font>
      <sz val="12"/>
      <color rgb="FF000000"/>
      <name val="TH SarabunPSK"/>
      <family val="2"/>
    </font>
    <font>
      <b/>
      <sz val="10"/>
      <color rgb="FF000000"/>
      <name val="TH SarabunPSK"/>
      <family val="2"/>
    </font>
    <font>
      <sz val="10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rgb="FF0000FF"/>
      <name val="TH SarabunPSK"/>
      <family val="2"/>
    </font>
    <font>
      <b/>
      <sz val="12"/>
      <color rgb="FFFF0000"/>
      <name val="TH SarabunPSK"/>
      <family val="2"/>
    </font>
    <font>
      <b/>
      <sz val="18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vertAlign val="superscript"/>
      <sz val="14"/>
      <color rgb="FF000000"/>
      <name val="TH SarabunPSK"/>
      <family val="2"/>
    </font>
    <font>
      <b/>
      <sz val="11"/>
      <color rgb="FF000000"/>
      <name val="TH SarabunPSK"/>
      <family val="2"/>
    </font>
    <font>
      <sz val="11"/>
      <color rgb="FF000000"/>
      <name val="TH SarabunPSK"/>
      <family val="2"/>
    </font>
    <font>
      <b/>
      <sz val="18"/>
      <color rgb="FF000000"/>
      <name val="Tahoma"/>
      <family val="2"/>
      <charset val="222"/>
      <scheme val="minor"/>
    </font>
    <font>
      <b/>
      <sz val="20"/>
      <color rgb="FF000000"/>
      <name val="TH SarabunPSK"/>
      <family val="2"/>
    </font>
    <font>
      <sz val="20"/>
      <color rgb="FF000000"/>
      <name val="TH SarabunPSK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4"/>
      <color rgb="FF000000"/>
      <name val="AngsanaUPC"/>
      <family val="1"/>
      <charset val="22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2"/>
      <color rgb="FF000000"/>
      <name val="Arial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333333"/>
      <name val="Calibri"/>
      <family val="2"/>
    </font>
    <font>
      <b/>
      <sz val="18"/>
      <color rgb="FF333399"/>
      <name val="Cambria"/>
      <family val="2"/>
    </font>
    <font>
      <b/>
      <sz val="11"/>
      <color rgb="FF000000"/>
      <name val="Calibri"/>
      <family val="2"/>
    </font>
    <font>
      <sz val="12"/>
      <color rgb="FF000000"/>
      <name val="นูลมรผ"/>
      <charset val="129"/>
    </font>
    <font>
      <sz val="12"/>
      <color rgb="FF000000"/>
      <name val="นูลมรผ"/>
    </font>
    <font>
      <sz val="24"/>
      <color rgb="FF000000"/>
      <name val="TH SarabunPSK"/>
      <family val="2"/>
    </font>
    <font>
      <sz val="16"/>
      <color rgb="FFFF0000"/>
      <name val="TH SarabunPSK"/>
      <family val="2"/>
    </font>
    <font>
      <b/>
      <sz val="18"/>
      <color rgb="FF000000"/>
      <name val="TH SarabunPSK"/>
      <family val="2"/>
    </font>
    <font>
      <u/>
      <sz val="14"/>
      <color rgb="FF000000"/>
      <name val="TH SarabunPSK"/>
      <family val="2"/>
    </font>
    <font>
      <sz val="14"/>
      <color rgb="FFFF0000"/>
      <name val="TH SarabunPSK"/>
      <family val="2"/>
    </font>
    <font>
      <b/>
      <sz val="14"/>
      <color rgb="FF000000"/>
      <name val="TH SarabunPSK"/>
      <family val="2"/>
      <charset val="222"/>
    </font>
    <font>
      <b/>
      <sz val="14"/>
      <color rgb="FF000000"/>
      <name val="Symbol"/>
      <family val="1"/>
      <charset val="2"/>
    </font>
    <font>
      <b/>
      <u/>
      <sz val="14"/>
      <color rgb="FF000000"/>
      <name val="TH SarabunPSK"/>
      <family val="2"/>
    </font>
    <font>
      <b/>
      <sz val="16"/>
      <color rgb="FF000000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color rgb="FFFF0000"/>
      <name val="TH SarabunPSK"/>
      <family val="2"/>
      <charset val="222"/>
    </font>
  </fonts>
  <fills count="2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FFD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99CC"/>
      </patternFill>
    </fill>
    <fill>
      <patternFill patternType="solid">
        <fgColor rgb="FFFF6600"/>
      </patternFill>
    </fill>
    <fill>
      <patternFill patternType="solid">
        <fgColor rgb="FFFFCC00"/>
      </patternFill>
    </fill>
    <fill>
      <patternFill patternType="solid">
        <fgColor rgb="FF003366"/>
      </patternFill>
    </fill>
    <fill>
      <patternFill patternType="solid">
        <fgColor rgb="FF666699"/>
      </patternFill>
    </fill>
    <fill>
      <patternFill patternType="solid">
        <fgColor rgb="FF33CCCC"/>
      </patternFill>
    </fill>
    <fill>
      <patternFill patternType="solid">
        <fgColor rgb="FFFF0000"/>
      </patternFill>
    </fill>
    <fill>
      <patternFill patternType="solid">
        <fgColor rgb="FFCC99FF"/>
      </patternFill>
    </fill>
    <fill>
      <patternFill patternType="solid">
        <fgColor rgb="FFFFFFFF"/>
      </patternFill>
    </fill>
    <fill>
      <patternFill patternType="solid">
        <fgColor rgb="FF969696"/>
      </patternFill>
    </fill>
    <fill>
      <patternFill patternType="solid">
        <fgColor rgb="FFC0C0C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rgb="FF003366"/>
      </bottom>
      <diagonal/>
    </border>
    <border>
      <left/>
      <right/>
      <top/>
      <bottom style="thick">
        <color rgb="FFCCFFFF"/>
      </bottom>
      <diagonal/>
    </border>
    <border>
      <left/>
      <right/>
      <top/>
      <bottom style="medium">
        <color rgb="FFCCFFFF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3366"/>
      </top>
      <bottom style="double">
        <color rgb="FF003366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74">
    <xf numFmtId="0" fontId="0" fillId="0" borderId="0"/>
    <xf numFmtId="43" fontId="1" fillId="0" borderId="0"/>
    <xf numFmtId="43" fontId="19" fillId="0" borderId="0"/>
    <xf numFmtId="43" fontId="24" fillId="0" borderId="0"/>
    <xf numFmtId="43" fontId="19" fillId="0" borderId="0"/>
    <xf numFmtId="43" fontId="27" fillId="0" borderId="0"/>
    <xf numFmtId="43" fontId="19" fillId="0" borderId="0"/>
    <xf numFmtId="43" fontId="28" fillId="0" borderId="0"/>
    <xf numFmtId="43" fontId="30" fillId="0" borderId="0"/>
    <xf numFmtId="0" fontId="24" fillId="0" borderId="0"/>
    <xf numFmtId="0" fontId="25" fillId="0" borderId="0"/>
    <xf numFmtId="0" fontId="19" fillId="0" borderId="0"/>
    <xf numFmtId="0" fontId="19" fillId="0" borderId="0"/>
    <xf numFmtId="0" fontId="32" fillId="0" borderId="0"/>
    <xf numFmtId="0" fontId="19" fillId="0" borderId="0"/>
    <xf numFmtId="0" fontId="27" fillId="0" borderId="0"/>
    <xf numFmtId="0" fontId="19" fillId="0" borderId="0"/>
    <xf numFmtId="0" fontId="28" fillId="0" borderId="0"/>
    <xf numFmtId="0" fontId="32" fillId="0" borderId="0"/>
    <xf numFmtId="0" fontId="30" fillId="0" borderId="0"/>
    <xf numFmtId="0" fontId="31" fillId="0" borderId="0"/>
    <xf numFmtId="9" fontId="30" fillId="0" borderId="0"/>
    <xf numFmtId="43" fontId="19" fillId="0" borderId="0"/>
    <xf numFmtId="0" fontId="19" fillId="0" borderId="0"/>
    <xf numFmtId="0" fontId="61" fillId="12" borderId="0"/>
    <xf numFmtId="0" fontId="61" fillId="13" borderId="0"/>
    <xf numFmtId="0" fontId="61" fillId="14" borderId="0"/>
    <xf numFmtId="0" fontId="61" fillId="15" borderId="0"/>
    <xf numFmtId="0" fontId="61" fillId="16" borderId="0"/>
    <xf numFmtId="0" fontId="61" fillId="14" borderId="0"/>
    <xf numFmtId="0" fontId="61" fillId="16" borderId="0"/>
    <xf numFmtId="0" fontId="61" fillId="13" borderId="0"/>
    <xf numFmtId="0" fontId="61" fillId="17" borderId="0"/>
    <xf numFmtId="0" fontId="61" fillId="18" borderId="0"/>
    <xf numFmtId="0" fontId="61" fillId="16" borderId="0"/>
    <xf numFmtId="0" fontId="61" fillId="14" borderId="0"/>
    <xf numFmtId="0" fontId="62" fillId="16" borderId="0"/>
    <xf numFmtId="0" fontId="62" fillId="19" borderId="0"/>
    <xf numFmtId="0" fontId="62" fillId="20" borderId="0"/>
    <xf numFmtId="0" fontId="62" fillId="18" borderId="0"/>
    <xf numFmtId="0" fontId="62" fillId="16" borderId="0"/>
    <xf numFmtId="0" fontId="62" fillId="13" borderId="0"/>
    <xf numFmtId="9" fontId="63" fillId="0" borderId="0"/>
    <xf numFmtId="0" fontId="62" fillId="21" borderId="0"/>
    <xf numFmtId="0" fontId="62" fillId="19" borderId="0"/>
    <xf numFmtId="0" fontId="62" fillId="20" borderId="0"/>
    <xf numFmtId="0" fontId="62" fillId="22" borderId="0"/>
    <xf numFmtId="0" fontId="62" fillId="23" borderId="0"/>
    <xf numFmtId="0" fontId="62" fillId="24" borderId="0"/>
    <xf numFmtId="0" fontId="64" fillId="25" borderId="0"/>
    <xf numFmtId="0" fontId="65" fillId="26" borderId="38"/>
    <xf numFmtId="0" fontId="66" fillId="27" borderId="39"/>
    <xf numFmtId="0" fontId="67" fillId="0" borderId="0"/>
    <xf numFmtId="0" fontId="68" fillId="16" borderId="0"/>
    <xf numFmtId="0" fontId="69" fillId="0" borderId="40">
      <alignment horizontal="left" vertical="center"/>
    </xf>
    <xf numFmtId="0" fontId="69" fillId="0" borderId="9">
      <alignment horizontal="left" vertical="center"/>
    </xf>
    <xf numFmtId="0" fontId="70" fillId="0" borderId="41"/>
    <xf numFmtId="0" fontId="71" fillId="0" borderId="42"/>
    <xf numFmtId="0" fontId="72" fillId="0" borderId="43"/>
    <xf numFmtId="0" fontId="72" fillId="0" borderId="0"/>
    <xf numFmtId="0" fontId="73" fillId="17" borderId="38"/>
    <xf numFmtId="0" fontId="74" fillId="0" borderId="44"/>
    <xf numFmtId="0" fontId="75" fillId="17" borderId="0"/>
    <xf numFmtId="0" fontId="63" fillId="14" borderId="45"/>
    <xf numFmtId="0" fontId="76" fillId="26" borderId="46"/>
    <xf numFmtId="0" fontId="77" fillId="0" borderId="0"/>
    <xf numFmtId="0" fontId="78" fillId="0" borderId="47"/>
    <xf numFmtId="0" fontId="74" fillId="0" borderId="0"/>
    <xf numFmtId="9" fontId="79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9" fillId="0" borderId="0"/>
  </cellStyleXfs>
  <cellXfs count="802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3" fontId="12" fillId="2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3" fontId="13" fillId="0" borderId="3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3" fontId="13" fillId="0" borderId="4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3" fontId="6" fillId="0" borderId="2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3" fontId="13" fillId="0" borderId="7" xfId="0" applyNumberFormat="1" applyFont="1" applyBorder="1" applyAlignment="1">
      <alignment horizontal="center" vertical="top" wrapText="1"/>
    </xf>
    <xf numFmtId="0" fontId="13" fillId="0" borderId="3" xfId="0" applyFont="1" applyBorder="1"/>
    <xf numFmtId="0" fontId="13" fillId="0" borderId="3" xfId="0" applyFont="1" applyBorder="1" applyAlignment="1">
      <alignment vertical="top" wrapText="1" shrinkToFit="1"/>
    </xf>
    <xf numFmtId="0" fontId="13" fillId="0" borderId="8" xfId="0" applyFont="1" applyBorder="1" applyAlignment="1">
      <alignment vertical="top" wrapText="1"/>
    </xf>
    <xf numFmtId="3" fontId="13" fillId="0" borderId="8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vertical="top" wrapText="1" shrinkToFit="1"/>
    </xf>
    <xf numFmtId="0" fontId="13" fillId="0" borderId="9" xfId="0" applyFont="1" applyBorder="1" applyAlignment="1">
      <alignment vertical="top" wrapText="1"/>
    </xf>
    <xf numFmtId="3" fontId="13" fillId="0" borderId="9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3" fillId="0" borderId="5" xfId="0" applyFont="1" applyBorder="1"/>
    <xf numFmtId="0" fontId="13" fillId="0" borderId="6" xfId="0" applyFont="1" applyBorder="1"/>
    <xf numFmtId="0" fontId="13" fillId="0" borderId="9" xfId="0" applyFont="1" applyBorder="1"/>
    <xf numFmtId="0" fontId="13" fillId="0" borderId="7" xfId="0" applyFont="1" applyBorder="1"/>
    <xf numFmtId="0" fontId="6" fillId="0" borderId="7" xfId="0" applyFont="1" applyBorder="1" applyAlignment="1">
      <alignment vertical="top" wrapText="1"/>
    </xf>
    <xf numFmtId="3" fontId="3" fillId="0" borderId="7" xfId="0" applyNumberFormat="1" applyFont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9" xfId="0" applyFont="1" applyBorder="1" applyAlignment="1">
      <alignment vertical="top" wrapText="1" shrinkToFit="1"/>
    </xf>
    <xf numFmtId="0" fontId="10" fillId="2" borderId="1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13" fillId="0" borderId="11" xfId="0" applyFont="1" applyBorder="1"/>
    <xf numFmtId="0" fontId="13" fillId="0" borderId="11" xfId="0" applyFont="1" applyBorder="1" applyAlignment="1">
      <alignment vertical="top" wrapText="1"/>
    </xf>
    <xf numFmtId="3" fontId="13" fillId="0" borderId="11" xfId="0" applyNumberFormat="1" applyFont="1" applyBorder="1" applyAlignment="1">
      <alignment horizontal="center" vertical="top" wrapText="1"/>
    </xf>
    <xf numFmtId="0" fontId="14" fillId="0" borderId="11" xfId="0" applyFont="1" applyBorder="1" applyAlignment="1">
      <alignment vertical="top" wrapText="1" shrinkToFit="1"/>
    </xf>
    <xf numFmtId="0" fontId="4" fillId="0" borderId="3" xfId="0" applyFont="1" applyBorder="1" applyAlignment="1">
      <alignment vertical="top" wrapText="1" shrinkToFit="1"/>
    </xf>
    <xf numFmtId="0" fontId="13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 shrinkToFit="1"/>
    </xf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3" fontId="10" fillId="2" borderId="6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vertical="top" wrapText="1" shrinkToFit="1"/>
    </xf>
    <xf numFmtId="0" fontId="13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 shrinkToFit="1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top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3" fillId="0" borderId="4" xfId="0" applyFont="1" applyBorder="1"/>
    <xf numFmtId="0" fontId="12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 shrinkToFit="1"/>
    </xf>
    <xf numFmtId="0" fontId="13" fillId="0" borderId="7" xfId="0" applyFont="1" applyBorder="1" applyAlignment="1">
      <alignment vertical="top" wrapText="1" shrinkToFit="1"/>
    </xf>
    <xf numFmtId="0" fontId="3" fillId="0" borderId="2" xfId="0" applyFont="1" applyBorder="1" applyAlignment="1">
      <alignment vertical="top" wrapText="1" shrinkToFi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6" xfId="0" applyFont="1" applyBorder="1" applyAlignment="1">
      <alignment vertical="top" wrapText="1" shrinkToFit="1"/>
    </xf>
    <xf numFmtId="3" fontId="13" fillId="0" borderId="6" xfId="0" applyNumberFormat="1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center" vertical="top" wrapText="1"/>
    </xf>
    <xf numFmtId="3" fontId="6" fillId="0" borderId="3" xfId="0" applyNumberFormat="1" applyFont="1" applyBorder="1" applyAlignment="1">
      <alignment horizontal="center" vertical="top" wrapText="1"/>
    </xf>
    <xf numFmtId="0" fontId="22" fillId="4" borderId="3" xfId="0" applyFont="1" applyFill="1" applyBorder="1"/>
    <xf numFmtId="0" fontId="22" fillId="4" borderId="3" xfId="0" applyFont="1" applyFill="1" applyBorder="1" applyAlignment="1">
      <alignment horizontal="center"/>
    </xf>
    <xf numFmtId="0" fontId="22" fillId="4" borderId="26" xfId="0" applyFont="1" applyFill="1" applyBorder="1" applyAlignment="1">
      <alignment horizontal="center"/>
    </xf>
    <xf numFmtId="189" fontId="22" fillId="4" borderId="26" xfId="0" applyNumberFormat="1" applyFont="1" applyFill="1" applyBorder="1"/>
    <xf numFmtId="189" fontId="22" fillId="4" borderId="3" xfId="0" applyNumberFormat="1" applyFont="1" applyFill="1" applyBorder="1"/>
    <xf numFmtId="0" fontId="22" fillId="4" borderId="3" xfId="0" applyFont="1" applyFill="1" applyBorder="1" applyAlignment="1">
      <alignment vertical="top"/>
    </xf>
    <xf numFmtId="0" fontId="22" fillId="4" borderId="3" xfId="0" applyFont="1" applyFill="1" applyBorder="1" applyAlignment="1">
      <alignment horizontal="center" vertical="top"/>
    </xf>
    <xf numFmtId="191" fontId="22" fillId="4" borderId="26" xfId="0" applyNumberFormat="1" applyFont="1" applyFill="1" applyBorder="1" applyAlignment="1">
      <alignment vertical="top"/>
    </xf>
    <xf numFmtId="191" fontId="22" fillId="4" borderId="3" xfId="0" applyNumberFormat="1" applyFont="1" applyFill="1" applyBorder="1" applyAlignment="1">
      <alignment vertical="top"/>
    </xf>
    <xf numFmtId="0" fontId="22" fillId="4" borderId="8" xfId="0" applyFont="1" applyFill="1" applyBorder="1"/>
    <xf numFmtId="0" fontId="22" fillId="4" borderId="8" xfId="0" applyFont="1" applyFill="1" applyBorder="1" applyAlignment="1">
      <alignment horizontal="center"/>
    </xf>
    <xf numFmtId="0" fontId="22" fillId="4" borderId="27" xfId="0" applyFont="1" applyFill="1" applyBorder="1" applyAlignment="1">
      <alignment horizontal="center"/>
    </xf>
    <xf numFmtId="191" fontId="22" fillId="4" borderId="27" xfId="0" applyNumberFormat="1" applyFont="1" applyFill="1" applyBorder="1" applyAlignment="1">
      <alignment vertical="top"/>
    </xf>
    <xf numFmtId="191" fontId="22" fillId="4" borderId="8" xfId="0" applyNumberFormat="1" applyFont="1" applyFill="1" applyBorder="1" applyAlignment="1">
      <alignment vertical="top"/>
    </xf>
    <xf numFmtId="0" fontId="26" fillId="4" borderId="0" xfId="0" applyFont="1" applyFill="1"/>
    <xf numFmtId="0" fontId="43" fillId="4" borderId="0" xfId="0" applyFont="1" applyFill="1"/>
    <xf numFmtId="0" fontId="0" fillId="4" borderId="0" xfId="0" applyFill="1"/>
    <xf numFmtId="49" fontId="22" fillId="4" borderId="3" xfId="0" applyNumberFormat="1" applyFont="1" applyFill="1" applyBorder="1"/>
    <xf numFmtId="0" fontId="22" fillId="4" borderId="8" xfId="0" applyFont="1" applyFill="1" applyBorder="1" applyAlignment="1">
      <alignment vertical="top"/>
    </xf>
    <xf numFmtId="0" fontId="22" fillId="4" borderId="6" xfId="0" applyFont="1" applyFill="1" applyBorder="1"/>
    <xf numFmtId="0" fontId="22" fillId="4" borderId="8" xfId="0" applyFont="1" applyFill="1" applyBorder="1" applyAlignment="1">
      <alignment horizontal="center" vertical="top"/>
    </xf>
    <xf numFmtId="0" fontId="22" fillId="4" borderId="27" xfId="0" applyFont="1" applyFill="1" applyBorder="1" applyAlignment="1">
      <alignment horizontal="center" vertical="top"/>
    </xf>
    <xf numFmtId="189" fontId="22" fillId="4" borderId="27" xfId="0" applyNumberFormat="1" applyFont="1" applyFill="1" applyBorder="1" applyAlignment="1">
      <alignment vertical="top"/>
    </xf>
    <xf numFmtId="191" fontId="23" fillId="4" borderId="0" xfId="0" applyNumberFormat="1" applyFont="1" applyFill="1"/>
    <xf numFmtId="0" fontId="23" fillId="4" borderId="0" xfId="0" applyFont="1" applyFill="1"/>
    <xf numFmtId="0" fontId="33" fillId="4" borderId="0" xfId="0" applyFont="1" applyFill="1" applyAlignment="1">
      <alignment horizontal="right"/>
    </xf>
    <xf numFmtId="0" fontId="22" fillId="4" borderId="5" xfId="0" applyFont="1" applyFill="1" applyBorder="1"/>
    <xf numFmtId="0" fontId="33" fillId="4" borderId="1" xfId="0" applyFont="1" applyFill="1" applyBorder="1" applyAlignment="1" applyProtection="1">
      <alignment vertical="top" wrapText="1"/>
      <protection locked="0"/>
    </xf>
    <xf numFmtId="0" fontId="22" fillId="4" borderId="1" xfId="0" applyFont="1" applyFill="1" applyBorder="1"/>
    <xf numFmtId="0" fontId="22" fillId="4" borderId="9" xfId="0" applyFont="1" applyFill="1" applyBorder="1"/>
    <xf numFmtId="191" fontId="22" fillId="4" borderId="1" xfId="0" applyNumberFormat="1" applyFont="1" applyFill="1" applyBorder="1"/>
    <xf numFmtId="191" fontId="22" fillId="4" borderId="3" xfId="0" applyNumberFormat="1" applyFont="1" applyFill="1" applyBorder="1"/>
    <xf numFmtId="0" fontId="22" fillId="4" borderId="3" xfId="0" applyFont="1" applyFill="1" applyBorder="1" applyAlignment="1">
      <alignment wrapText="1"/>
    </xf>
    <xf numFmtId="191" fontId="22" fillId="4" borderId="6" xfId="0" applyNumberFormat="1" applyFont="1" applyFill="1" applyBorder="1"/>
    <xf numFmtId="0" fontId="22" fillId="4" borderId="6" xfId="0" applyFont="1" applyFill="1" applyBorder="1" applyAlignment="1">
      <alignment horizontal="center"/>
    </xf>
    <xf numFmtId="0" fontId="22" fillId="4" borderId="17" xfId="0" applyFont="1" applyFill="1" applyBorder="1" applyAlignment="1">
      <alignment horizontal="center"/>
    </xf>
    <xf numFmtId="189" fontId="22" fillId="4" borderId="17" xfId="0" applyNumberFormat="1" applyFont="1" applyFill="1" applyBorder="1"/>
    <xf numFmtId="189" fontId="22" fillId="4" borderId="8" xfId="0" applyNumberFormat="1" applyFont="1" applyFill="1" applyBorder="1"/>
    <xf numFmtId="192" fontId="22" fillId="4" borderId="0" xfId="0" applyNumberFormat="1" applyFont="1" applyFill="1"/>
    <xf numFmtId="191" fontId="22" fillId="4" borderId="8" xfId="0" applyNumberFormat="1" applyFont="1" applyFill="1" applyBorder="1"/>
    <xf numFmtId="189" fontId="22" fillId="4" borderId="27" xfId="0" applyNumberFormat="1" applyFont="1" applyFill="1" applyBorder="1"/>
    <xf numFmtId="0" fontId="22" fillId="4" borderId="26" xfId="0" applyFont="1" applyFill="1" applyBorder="1"/>
    <xf numFmtId="0" fontId="44" fillId="4" borderId="3" xfId="0" applyFont="1" applyFill="1" applyBorder="1"/>
    <xf numFmtId="191" fontId="44" fillId="4" borderId="3" xfId="0" applyNumberFormat="1" applyFont="1" applyFill="1" applyBorder="1"/>
    <xf numFmtId="0" fontId="44" fillId="4" borderId="3" xfId="0" applyFont="1" applyFill="1" applyBorder="1" applyAlignment="1">
      <alignment horizontal="center"/>
    </xf>
    <xf numFmtId="0" fontId="44" fillId="4" borderId="26" xfId="0" applyFont="1" applyFill="1" applyBorder="1" applyAlignment="1">
      <alignment horizontal="center"/>
    </xf>
    <xf numFmtId="189" fontId="44" fillId="4" borderId="26" xfId="0" applyNumberFormat="1" applyFont="1" applyFill="1" applyBorder="1"/>
    <xf numFmtId="189" fontId="44" fillId="4" borderId="3" xfId="0" applyNumberFormat="1" applyFont="1" applyFill="1" applyBorder="1"/>
    <xf numFmtId="0" fontId="44" fillId="4" borderId="3" xfId="0" applyFont="1" applyFill="1" applyBorder="1" applyAlignment="1">
      <alignment vertical="top"/>
    </xf>
    <xf numFmtId="194" fontId="22" fillId="4" borderId="3" xfId="0" applyNumberFormat="1" applyFont="1" applyFill="1" applyBorder="1"/>
    <xf numFmtId="191" fontId="42" fillId="4" borderId="3" xfId="0" applyNumberFormat="1" applyFont="1" applyFill="1" applyBorder="1"/>
    <xf numFmtId="0" fontId="42" fillId="4" borderId="3" xfId="0" applyFont="1" applyFill="1" applyBorder="1"/>
    <xf numFmtId="194" fontId="42" fillId="4" borderId="3" xfId="0" applyNumberFormat="1" applyFont="1" applyFill="1" applyBorder="1"/>
    <xf numFmtId="194" fontId="22" fillId="4" borderId="6" xfId="0" applyNumberFormat="1" applyFont="1" applyFill="1" applyBorder="1"/>
    <xf numFmtId="190" fontId="22" fillId="4" borderId="27" xfId="0" applyNumberFormat="1" applyFont="1" applyFill="1" applyBorder="1"/>
    <xf numFmtId="190" fontId="22" fillId="4" borderId="8" xfId="0" applyNumberFormat="1" applyFont="1" applyFill="1" applyBorder="1"/>
    <xf numFmtId="0" fontId="22" fillId="4" borderId="7" xfId="0" applyFont="1" applyFill="1" applyBorder="1"/>
    <xf numFmtId="0" fontId="22" fillId="4" borderId="27" xfId="0" applyFont="1" applyFill="1" applyBorder="1"/>
    <xf numFmtId="191" fontId="22" fillId="4" borderId="26" xfId="0" applyNumberFormat="1" applyFont="1" applyFill="1" applyBorder="1"/>
    <xf numFmtId="191" fontId="22" fillId="4" borderId="27" xfId="0" applyNumberFormat="1" applyFont="1" applyFill="1" applyBorder="1" applyAlignment="1">
      <alignment horizontal="center" vertical="top"/>
    </xf>
    <xf numFmtId="191" fontId="22" fillId="4" borderId="8" xfId="0" applyNumberFormat="1" applyFont="1" applyFill="1" applyBorder="1" applyAlignment="1">
      <alignment horizontal="center" vertical="top"/>
    </xf>
    <xf numFmtId="0" fontId="22" fillId="4" borderId="6" xfId="0" applyFont="1" applyFill="1" applyBorder="1" applyAlignment="1">
      <alignment horizontal="left" vertical="top"/>
    </xf>
    <xf numFmtId="189" fontId="22" fillId="4" borderId="3" xfId="0" applyNumberFormat="1" applyFont="1" applyFill="1" applyBorder="1" applyAlignment="1">
      <alignment vertical="top"/>
    </xf>
    <xf numFmtId="0" fontId="22" fillId="4" borderId="6" xfId="0" applyFont="1" applyFill="1" applyBorder="1" applyAlignment="1">
      <alignment vertical="top"/>
    </xf>
    <xf numFmtId="1" fontId="22" fillId="4" borderId="3" xfId="0" applyNumberFormat="1" applyFont="1" applyFill="1" applyBorder="1" applyAlignment="1">
      <alignment horizontal="center"/>
    </xf>
    <xf numFmtId="1" fontId="22" fillId="4" borderId="8" xfId="0" applyNumberFormat="1" applyFont="1" applyFill="1" applyBorder="1" applyAlignment="1">
      <alignment horizontal="center" vertical="top"/>
    </xf>
    <xf numFmtId="0" fontId="22" fillId="4" borderId="4" xfId="0" applyFont="1" applyFill="1" applyBorder="1"/>
    <xf numFmtId="195" fontId="22" fillId="4" borderId="3" xfId="0" applyNumberFormat="1" applyFont="1" applyFill="1" applyBorder="1"/>
    <xf numFmtId="0" fontId="22" fillId="4" borderId="8" xfId="0" applyFont="1" applyFill="1" applyBorder="1" applyAlignment="1">
      <alignment horizontal="left" vertical="top"/>
    </xf>
    <xf numFmtId="0" fontId="44" fillId="4" borderId="8" xfId="0" applyFont="1" applyFill="1" applyBorder="1"/>
    <xf numFmtId="0" fontId="44" fillId="4" borderId="8" xfId="0" applyFont="1" applyFill="1" applyBorder="1" applyAlignment="1">
      <alignment horizontal="center" vertical="top"/>
    </xf>
    <xf numFmtId="0" fontId="44" fillId="4" borderId="27" xfId="0" applyFont="1" applyFill="1" applyBorder="1" applyAlignment="1">
      <alignment horizontal="center" vertical="top"/>
    </xf>
    <xf numFmtId="191" fontId="44" fillId="4" borderId="27" xfId="0" applyNumberFormat="1" applyFont="1" applyFill="1" applyBorder="1" applyAlignment="1">
      <alignment horizontal="center" vertical="top"/>
    </xf>
    <xf numFmtId="191" fontId="44" fillId="4" borderId="8" xfId="0" applyNumberFormat="1" applyFont="1" applyFill="1" applyBorder="1" applyAlignment="1">
      <alignment horizontal="center" vertical="top"/>
    </xf>
    <xf numFmtId="189" fontId="22" fillId="4" borderId="30" xfId="0" applyNumberFormat="1" applyFont="1" applyFill="1" applyBorder="1"/>
    <xf numFmtId="189" fontId="22" fillId="4" borderId="4" xfId="0" applyNumberFormat="1" applyFont="1" applyFill="1" applyBorder="1"/>
    <xf numFmtId="0" fontId="22" fillId="4" borderId="3" xfId="0" applyFont="1" applyFill="1" applyBorder="1" applyAlignment="1">
      <alignment horizontal="left" vertical="top"/>
    </xf>
    <xf numFmtId="189" fontId="44" fillId="4" borderId="3" xfId="0" applyNumberFormat="1" applyFont="1" applyFill="1" applyBorder="1" applyAlignment="1">
      <alignment vertical="top"/>
    </xf>
    <xf numFmtId="0" fontId="44" fillId="4" borderId="3" xfId="0" applyFont="1" applyFill="1" applyBorder="1" applyAlignment="1">
      <alignment horizontal="center" vertical="top"/>
    </xf>
    <xf numFmtId="0" fontId="44" fillId="4" borderId="26" xfId="0" applyFont="1" applyFill="1" applyBorder="1" applyAlignment="1">
      <alignment horizontal="center" vertical="top"/>
    </xf>
    <xf numFmtId="191" fontId="44" fillId="4" borderId="26" xfId="0" applyNumberFormat="1" applyFont="1" applyFill="1" applyBorder="1" applyAlignment="1">
      <alignment horizontal="center" vertical="top"/>
    </xf>
    <xf numFmtId="191" fontId="44" fillId="4" borderId="3" xfId="0" applyNumberFormat="1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left" vertical="top"/>
    </xf>
    <xf numFmtId="189" fontId="44" fillId="4" borderId="26" xfId="0" applyNumberFormat="1" applyFont="1" applyFill="1" applyBorder="1" applyAlignment="1">
      <alignment vertical="top"/>
    </xf>
    <xf numFmtId="191" fontId="44" fillId="4" borderId="26" xfId="0" applyNumberFormat="1" applyFont="1" applyFill="1" applyBorder="1" applyAlignment="1">
      <alignment vertical="top"/>
    </xf>
    <xf numFmtId="191" fontId="44" fillId="4" borderId="3" xfId="0" applyNumberFormat="1" applyFont="1" applyFill="1" applyBorder="1" applyAlignment="1">
      <alignment vertical="top"/>
    </xf>
    <xf numFmtId="191" fontId="22" fillId="4" borderId="4" xfId="0" applyNumberFormat="1" applyFont="1" applyFill="1" applyBorder="1"/>
    <xf numFmtId="191" fontId="44" fillId="4" borderId="4" xfId="0" applyNumberFormat="1" applyFont="1" applyFill="1" applyBorder="1"/>
    <xf numFmtId="0" fontId="44" fillId="4" borderId="4" xfId="0" applyFont="1" applyFill="1" applyBorder="1" applyAlignment="1">
      <alignment horizontal="center"/>
    </xf>
    <xf numFmtId="0" fontId="44" fillId="4" borderId="28" xfId="0" applyFont="1" applyFill="1" applyBorder="1" applyAlignment="1">
      <alignment horizontal="center"/>
    </xf>
    <xf numFmtId="189" fontId="44" fillId="4" borderId="28" xfId="0" applyNumberFormat="1" applyFont="1" applyFill="1" applyBorder="1" applyAlignment="1">
      <alignment vertical="top"/>
    </xf>
    <xf numFmtId="189" fontId="44" fillId="4" borderId="4" xfId="0" applyNumberFormat="1" applyFont="1" applyFill="1" applyBorder="1" applyAlignment="1">
      <alignment vertical="top"/>
    </xf>
    <xf numFmtId="0" fontId="44" fillId="4" borderId="6" xfId="0" applyFont="1" applyFill="1" applyBorder="1"/>
    <xf numFmtId="0" fontId="44" fillId="4" borderId="6" xfId="0" applyFont="1" applyFill="1" applyBorder="1" applyAlignment="1">
      <alignment horizontal="center" vertical="top"/>
    </xf>
    <xf numFmtId="0" fontId="44" fillId="4" borderId="17" xfId="0" applyFont="1" applyFill="1" applyBorder="1" applyAlignment="1">
      <alignment horizontal="center" vertical="top"/>
    </xf>
    <xf numFmtId="191" fontId="44" fillId="4" borderId="17" xfId="0" applyNumberFormat="1" applyFont="1" applyFill="1" applyBorder="1" applyAlignment="1">
      <alignment vertical="top"/>
    </xf>
    <xf numFmtId="191" fontId="44" fillId="4" borderId="6" xfId="0" applyNumberFormat="1" applyFont="1" applyFill="1" applyBorder="1" applyAlignment="1">
      <alignment vertical="top"/>
    </xf>
    <xf numFmtId="0" fontId="44" fillId="4" borderId="8" xfId="0" applyFont="1" applyFill="1" applyBorder="1" applyAlignment="1">
      <alignment horizontal="center"/>
    </xf>
    <xf numFmtId="190" fontId="22" fillId="4" borderId="3" xfId="0" applyNumberFormat="1" applyFont="1" applyFill="1" applyBorder="1"/>
    <xf numFmtId="191" fontId="22" fillId="4" borderId="6" xfId="0" applyNumberFormat="1" applyFont="1" applyFill="1" applyBorder="1" applyAlignment="1">
      <alignment horizontal="left" vertical="top"/>
    </xf>
    <xf numFmtId="191" fontId="26" fillId="4" borderId="0" xfId="0" applyNumberFormat="1" applyFont="1" applyFill="1"/>
    <xf numFmtId="191" fontId="34" fillId="7" borderId="5" xfId="0" applyNumberFormat="1" applyFont="1" applyFill="1" applyBorder="1" applyAlignment="1" applyProtection="1">
      <alignment horizontal="center" vertical="top"/>
      <protection locked="0"/>
    </xf>
    <xf numFmtId="188" fontId="34" fillId="7" borderId="5" xfId="0" applyNumberFormat="1" applyFont="1" applyFill="1" applyBorder="1" applyAlignment="1" applyProtection="1">
      <alignment horizontal="center" vertical="top"/>
      <protection locked="0"/>
    </xf>
    <xf numFmtId="0" fontId="22" fillId="7" borderId="5" xfId="0" applyFont="1" applyFill="1" applyBorder="1"/>
    <xf numFmtId="0" fontId="22" fillId="7" borderId="0" xfId="0" applyFont="1" applyFill="1"/>
    <xf numFmtId="0" fontId="33" fillId="6" borderId="1" xfId="0" applyFont="1" applyFill="1" applyBorder="1" applyAlignment="1" applyProtection="1">
      <alignment vertical="top" wrapText="1"/>
      <protection locked="0"/>
    </xf>
    <xf numFmtId="0" fontId="22" fillId="6" borderId="1" xfId="0" applyFont="1" applyFill="1" applyBorder="1"/>
    <xf numFmtId="0" fontId="22" fillId="6" borderId="9" xfId="0" applyFont="1" applyFill="1" applyBorder="1"/>
    <xf numFmtId="0" fontId="22" fillId="6" borderId="9" xfId="0" applyFont="1" applyFill="1" applyBorder="1" applyAlignment="1">
      <alignment vertical="top"/>
    </xf>
    <xf numFmtId="0" fontId="34" fillId="7" borderId="1" xfId="0" applyFont="1" applyFill="1" applyBorder="1" applyAlignment="1" applyProtection="1">
      <alignment vertical="top" wrapText="1"/>
      <protection locked="0"/>
    </xf>
    <xf numFmtId="0" fontId="22" fillId="7" borderId="1" xfId="0" applyFont="1" applyFill="1" applyBorder="1"/>
    <xf numFmtId="0" fontId="33" fillId="4" borderId="10" xfId="0" applyFont="1" applyFill="1" applyBorder="1" applyAlignment="1">
      <alignment vertical="top" wrapText="1"/>
    </xf>
    <xf numFmtId="0" fontId="33" fillId="4" borderId="5" xfId="0" applyFont="1" applyFill="1" applyBorder="1" applyAlignment="1">
      <alignment vertical="top" wrapText="1"/>
    </xf>
    <xf numFmtId="0" fontId="33" fillId="4" borderId="6" xfId="0" applyFont="1" applyFill="1" applyBorder="1" applyAlignment="1">
      <alignment vertical="top" wrapText="1"/>
    </xf>
    <xf numFmtId="0" fontId="33" fillId="8" borderId="3" xfId="0" applyFont="1" applyFill="1" applyBorder="1" applyAlignment="1">
      <alignment vertical="top" wrapText="1"/>
    </xf>
    <xf numFmtId="0" fontId="33" fillId="9" borderId="10" xfId="0" applyFont="1" applyFill="1" applyBorder="1" applyAlignment="1">
      <alignment horizontal="center"/>
    </xf>
    <xf numFmtId="0" fontId="33" fillId="9" borderId="18" xfId="0" applyFont="1" applyFill="1" applyBorder="1" applyAlignment="1">
      <alignment horizontal="center"/>
    </xf>
    <xf numFmtId="0" fontId="33" fillId="9" borderId="5" xfId="0" applyFont="1" applyFill="1" applyBorder="1" applyAlignment="1">
      <alignment horizontal="center"/>
    </xf>
    <xf numFmtId="191" fontId="33" fillId="9" borderId="10" xfId="0" applyNumberFormat="1" applyFont="1" applyFill="1" applyBorder="1" applyAlignment="1">
      <alignment horizontal="center"/>
    </xf>
    <xf numFmtId="0" fontId="33" fillId="9" borderId="20" xfId="0" applyFont="1" applyFill="1" applyBorder="1" applyAlignment="1">
      <alignment horizontal="center"/>
    </xf>
    <xf numFmtId="0" fontId="33" fillId="9" borderId="6" xfId="0" applyFont="1" applyFill="1" applyBorder="1" applyAlignment="1">
      <alignment horizontal="center"/>
    </xf>
    <xf numFmtId="191" fontId="33" fillId="9" borderId="6" xfId="0" applyNumberFormat="1" applyFont="1" applyFill="1" applyBorder="1" applyAlignment="1">
      <alignment horizontal="center"/>
    </xf>
    <xf numFmtId="0" fontId="33" fillId="9" borderId="15" xfId="0" applyFont="1" applyFill="1" applyBorder="1" applyAlignment="1">
      <alignment horizontal="center"/>
    </xf>
    <xf numFmtId="0" fontId="22" fillId="6" borderId="1" xfId="0" applyFont="1" applyFill="1" applyBorder="1" applyAlignment="1">
      <alignment vertical="top"/>
    </xf>
    <xf numFmtId="189" fontId="22" fillId="7" borderId="1" xfId="0" applyNumberFormat="1" applyFont="1" applyFill="1" applyBorder="1"/>
    <xf numFmtId="196" fontId="22" fillId="6" borderId="1" xfId="0" applyNumberFormat="1" applyFont="1" applyFill="1" applyBorder="1" applyAlignment="1">
      <alignment horizontal="left"/>
    </xf>
    <xf numFmtId="0" fontId="6" fillId="5" borderId="21" xfId="0" applyFont="1" applyFill="1" applyBorder="1" applyAlignment="1">
      <alignment horizontal="center"/>
    </xf>
    <xf numFmtId="191" fontId="6" fillId="5" borderId="21" xfId="0" applyNumberFormat="1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6" fillId="5" borderId="23" xfId="0" applyFont="1" applyFill="1" applyBorder="1"/>
    <xf numFmtId="0" fontId="6" fillId="5" borderId="24" xfId="0" applyFont="1" applyFill="1" applyBorder="1"/>
    <xf numFmtId="0" fontId="11" fillId="5" borderId="0" xfId="0" applyFont="1" applyFill="1"/>
    <xf numFmtId="189" fontId="22" fillId="7" borderId="1" xfId="0" applyNumberFormat="1" applyFont="1" applyFill="1" applyBorder="1" applyAlignment="1">
      <alignment vertical="top"/>
    </xf>
    <xf numFmtId="191" fontId="44" fillId="4" borderId="8" xfId="0" applyNumberFormat="1" applyFont="1" applyFill="1" applyBorder="1"/>
    <xf numFmtId="0" fontId="33" fillId="7" borderId="1" xfId="0" applyFont="1" applyFill="1" applyBorder="1"/>
    <xf numFmtId="0" fontId="33" fillId="6" borderId="1" xfId="0" applyFont="1" applyFill="1" applyBorder="1"/>
    <xf numFmtId="189" fontId="33" fillId="7" borderId="1" xfId="0" applyNumberFormat="1" applyFont="1" applyFill="1" applyBorder="1" applyAlignment="1">
      <alignment vertical="top"/>
    </xf>
    <xf numFmtId="0" fontId="21" fillId="6" borderId="1" xfId="0" applyFont="1" applyFill="1" applyBorder="1" applyAlignment="1" applyProtection="1">
      <alignment vertical="top" wrapText="1"/>
      <protection locked="0"/>
    </xf>
    <xf numFmtId="0" fontId="29" fillId="4" borderId="0" xfId="0" applyFont="1" applyFill="1"/>
    <xf numFmtId="189" fontId="33" fillId="6" borderId="1" xfId="0" applyNumberFormat="1" applyFont="1" applyFill="1" applyBorder="1" applyAlignment="1">
      <alignment vertical="top"/>
    </xf>
    <xf numFmtId="189" fontId="33" fillId="6" borderId="1" xfId="0" applyNumberFormat="1" applyFont="1" applyFill="1" applyBorder="1"/>
    <xf numFmtId="0" fontId="11" fillId="4" borderId="0" xfId="0" applyFont="1" applyFill="1"/>
    <xf numFmtId="0" fontId="34" fillId="7" borderId="5" xfId="0" applyFont="1" applyFill="1" applyBorder="1" applyAlignment="1" applyProtection="1">
      <alignment horizontal="right" vertical="top"/>
      <protection locked="0"/>
    </xf>
    <xf numFmtId="191" fontId="33" fillId="6" borderId="1" xfId="0" applyNumberFormat="1" applyFont="1" applyFill="1" applyBorder="1" applyAlignment="1" applyProtection="1">
      <alignment horizontal="right" vertical="top"/>
      <protection locked="0"/>
    </xf>
    <xf numFmtId="0" fontId="21" fillId="4" borderId="1" xfId="0" applyFont="1" applyFill="1" applyBorder="1" applyAlignment="1" applyProtection="1">
      <alignment vertical="top" wrapText="1"/>
      <protection locked="0"/>
    </xf>
    <xf numFmtId="0" fontId="21" fillId="4" borderId="0" xfId="0" applyFont="1" applyFill="1" applyAlignment="1" applyProtection="1">
      <alignment vertical="top" wrapText="1"/>
      <protection hidden="1"/>
    </xf>
    <xf numFmtId="0" fontId="48" fillId="7" borderId="6" xfId="0" applyFont="1" applyFill="1" applyBorder="1" applyAlignment="1" applyProtection="1">
      <alignment vertical="top" wrapText="1"/>
      <protection locked="0"/>
    </xf>
    <xf numFmtId="191" fontId="22" fillId="8" borderId="7" xfId="0" applyNumberFormat="1" applyFont="1" applyFill="1" applyBorder="1" applyAlignment="1">
      <alignment vertical="top"/>
    </xf>
    <xf numFmtId="189" fontId="22" fillId="8" borderId="2" xfId="0" applyNumberFormat="1" applyFont="1" applyFill="1" applyBorder="1" applyAlignment="1">
      <alignment vertical="top" wrapText="1"/>
    </xf>
    <xf numFmtId="189" fontId="22" fillId="8" borderId="2" xfId="0" applyNumberFormat="1" applyFont="1" applyFill="1" applyBorder="1" applyAlignment="1">
      <alignment vertical="top"/>
    </xf>
    <xf numFmtId="0" fontId="33" fillId="8" borderId="7" xfId="0" applyFont="1" applyFill="1" applyBorder="1" applyAlignment="1">
      <alignment horizontal="center" vertical="top"/>
    </xf>
    <xf numFmtId="0" fontId="33" fillId="8" borderId="25" xfId="0" applyFont="1" applyFill="1" applyBorder="1" applyAlignment="1">
      <alignment horizontal="center" vertical="top"/>
    </xf>
    <xf numFmtId="0" fontId="33" fillId="8" borderId="25" xfId="0" applyFont="1" applyFill="1" applyBorder="1"/>
    <xf numFmtId="189" fontId="33" fillId="8" borderId="7" xfId="0" applyNumberFormat="1" applyFont="1" applyFill="1" applyBorder="1" applyAlignment="1">
      <alignment horizontal="center" vertical="top"/>
    </xf>
    <xf numFmtId="0" fontId="22" fillId="8" borderId="7" xfId="0" applyFont="1" applyFill="1" applyBorder="1" applyAlignment="1">
      <alignment vertical="top" wrapText="1"/>
    </xf>
    <xf numFmtId="0" fontId="22" fillId="8" borderId="3" xfId="0" applyFont="1" applyFill="1" applyBorder="1" applyAlignment="1">
      <alignment horizontal="center" vertical="top"/>
    </xf>
    <xf numFmtId="0" fontId="22" fillId="8" borderId="26" xfId="0" applyFont="1" applyFill="1" applyBorder="1" applyAlignment="1">
      <alignment horizontal="center" vertical="top"/>
    </xf>
    <xf numFmtId="0" fontId="22" fillId="8" borderId="26" xfId="0" applyFont="1" applyFill="1" applyBorder="1"/>
    <xf numFmtId="0" fontId="33" fillId="8" borderId="7" xfId="0" applyFont="1" applyFill="1" applyBorder="1" applyAlignment="1">
      <alignment vertical="top" wrapText="1"/>
    </xf>
    <xf numFmtId="189" fontId="22" fillId="8" borderId="3" xfId="0" applyNumberFormat="1" applyFont="1" applyFill="1" applyBorder="1" applyAlignment="1">
      <alignment vertical="top"/>
    </xf>
    <xf numFmtId="0" fontId="22" fillId="8" borderId="7" xfId="0" applyFont="1" applyFill="1" applyBorder="1" applyAlignment="1">
      <alignment horizontal="center" vertical="top"/>
    </xf>
    <xf numFmtId="0" fontId="22" fillId="8" borderId="25" xfId="0" applyFont="1" applyFill="1" applyBorder="1" applyAlignment="1">
      <alignment horizontal="center" vertical="top"/>
    </xf>
    <xf numFmtId="0" fontId="22" fillId="8" borderId="25" xfId="0" applyFont="1" applyFill="1" applyBorder="1" applyAlignment="1">
      <alignment vertical="top"/>
    </xf>
    <xf numFmtId="0" fontId="22" fillId="8" borderId="7" xfId="0" applyFont="1" applyFill="1" applyBorder="1" applyAlignment="1">
      <alignment vertical="top"/>
    </xf>
    <xf numFmtId="191" fontId="22" fillId="8" borderId="2" xfId="0" applyNumberFormat="1" applyFont="1" applyFill="1" applyBorder="1" applyAlignment="1">
      <alignment vertical="top" wrapText="1"/>
    </xf>
    <xf numFmtId="0" fontId="22" fillId="8" borderId="2" xfId="0" applyFont="1" applyFill="1" applyBorder="1" applyAlignment="1">
      <alignment vertical="top"/>
    </xf>
    <xf numFmtId="191" fontId="22" fillId="8" borderId="2" xfId="0" applyNumberFormat="1" applyFont="1" applyFill="1" applyBorder="1" applyAlignment="1">
      <alignment vertical="top"/>
    </xf>
    <xf numFmtId="189" fontId="22" fillId="8" borderId="7" xfId="0" applyNumberFormat="1" applyFont="1" applyFill="1" applyBorder="1" applyAlignment="1">
      <alignment vertical="top"/>
    </xf>
    <xf numFmtId="0" fontId="33" fillId="8" borderId="7" xfId="0" applyFont="1" applyFill="1" applyBorder="1" applyAlignment="1">
      <alignment wrapText="1"/>
    </xf>
    <xf numFmtId="191" fontId="22" fillId="8" borderId="2" xfId="0" applyNumberFormat="1" applyFont="1" applyFill="1" applyBorder="1" applyAlignment="1">
      <alignment horizontal="right" vertical="top" wrapText="1"/>
    </xf>
    <xf numFmtId="187" fontId="33" fillId="8" borderId="7" xfId="0" applyNumberFormat="1" applyFont="1" applyFill="1" applyBorder="1" applyAlignment="1">
      <alignment horizontal="center" vertical="top"/>
    </xf>
    <xf numFmtId="0" fontId="33" fillId="8" borderId="2" xfId="0" applyFont="1" applyFill="1" applyBorder="1" applyAlignment="1">
      <alignment vertical="top" wrapText="1"/>
    </xf>
    <xf numFmtId="189" fontId="22" fillId="8" borderId="2" xfId="0" applyNumberFormat="1" applyFont="1" applyFill="1" applyBorder="1" applyAlignment="1">
      <alignment horizontal="right" vertical="top" wrapText="1"/>
    </xf>
    <xf numFmtId="0" fontId="22" fillId="8" borderId="2" xfId="0" applyFont="1" applyFill="1" applyBorder="1" applyAlignment="1">
      <alignment vertical="top" wrapText="1"/>
    </xf>
    <xf numFmtId="0" fontId="22" fillId="8" borderId="2" xfId="0" applyFont="1" applyFill="1" applyBorder="1" applyAlignment="1">
      <alignment horizontal="center" vertical="top"/>
    </xf>
    <xf numFmtId="0" fontId="22" fillId="8" borderId="29" xfId="0" applyFont="1" applyFill="1" applyBorder="1" applyAlignment="1">
      <alignment horizontal="center" vertical="top"/>
    </xf>
    <xf numFmtId="0" fontId="22" fillId="8" borderId="29" xfId="0" applyFont="1" applyFill="1" applyBorder="1"/>
    <xf numFmtId="189" fontId="33" fillId="8" borderId="2" xfId="0" applyNumberFormat="1" applyFont="1" applyFill="1" applyBorder="1" applyAlignment="1">
      <alignment horizontal="center" vertical="top"/>
    </xf>
    <xf numFmtId="0" fontId="33" fillId="8" borderId="3" xfId="0" applyFont="1" applyFill="1" applyBorder="1" applyAlignment="1">
      <alignment horizontal="left" vertical="top" wrapText="1"/>
    </xf>
    <xf numFmtId="191" fontId="22" fillId="8" borderId="3" xfId="0" applyNumberFormat="1" applyFont="1" applyFill="1" applyBorder="1" applyAlignment="1">
      <alignment vertical="top"/>
    </xf>
    <xf numFmtId="0" fontId="22" fillId="8" borderId="3" xfId="0" applyFont="1" applyFill="1" applyBorder="1" applyAlignment="1">
      <alignment vertical="top"/>
    </xf>
    <xf numFmtId="0" fontId="22" fillId="8" borderId="25" xfId="0" applyFont="1" applyFill="1" applyBorder="1"/>
    <xf numFmtId="0" fontId="22" fillId="8" borderId="2" xfId="0" applyFont="1" applyFill="1" applyBorder="1" applyAlignment="1">
      <alignment horizontal="right" vertical="top" wrapText="1"/>
    </xf>
    <xf numFmtId="191" fontId="22" fillId="8" borderId="2" xfId="0" applyNumberFormat="1" applyFont="1" applyFill="1" applyBorder="1" applyAlignment="1">
      <alignment horizontal="right" vertical="top" wrapText="1" shrinkToFit="1"/>
    </xf>
    <xf numFmtId="189" fontId="22" fillId="8" borderId="3" xfId="0" applyNumberFormat="1" applyFont="1" applyFill="1" applyBorder="1" applyAlignment="1">
      <alignment vertical="top" wrapText="1"/>
    </xf>
    <xf numFmtId="190" fontId="33" fillId="8" borderId="2" xfId="0" applyNumberFormat="1" applyFont="1" applyFill="1" applyBorder="1" applyAlignment="1">
      <alignment horizontal="center" vertical="top"/>
    </xf>
    <xf numFmtId="191" fontId="22" fillId="8" borderId="3" xfId="0" applyNumberFormat="1" applyFont="1" applyFill="1" applyBorder="1" applyAlignment="1">
      <alignment vertical="top" wrapText="1"/>
    </xf>
    <xf numFmtId="0" fontId="22" fillId="8" borderId="2" xfId="0" applyFont="1" applyFill="1" applyBorder="1"/>
    <xf numFmtId="189" fontId="22" fillId="8" borderId="25" xfId="0" applyNumberFormat="1" applyFont="1" applyFill="1" applyBorder="1" applyAlignment="1">
      <alignment vertical="top"/>
    </xf>
    <xf numFmtId="0" fontId="33" fillId="8" borderId="3" xfId="0" applyFont="1" applyFill="1" applyBorder="1" applyAlignment="1">
      <alignment wrapText="1"/>
    </xf>
    <xf numFmtId="0" fontId="33" fillId="8" borderId="2" xfId="0" applyFont="1" applyFill="1" applyBorder="1" applyAlignment="1">
      <alignment horizontal="left" vertical="top" wrapText="1"/>
    </xf>
    <xf numFmtId="0" fontId="44" fillId="8" borderId="2" xfId="0" applyFont="1" applyFill="1" applyBorder="1" applyAlignment="1">
      <alignment horizontal="center" vertical="top"/>
    </xf>
    <xf numFmtId="0" fontId="44" fillId="8" borderId="29" xfId="0" applyFont="1" applyFill="1" applyBorder="1" applyAlignment="1">
      <alignment horizontal="center" vertical="top"/>
    </xf>
    <xf numFmtId="0" fontId="44" fillId="8" borderId="29" xfId="0" applyFont="1" applyFill="1" applyBorder="1"/>
    <xf numFmtId="189" fontId="40" fillId="8" borderId="2" xfId="0" applyNumberFormat="1" applyFont="1" applyFill="1" applyBorder="1" applyAlignment="1">
      <alignment horizontal="center" vertical="top"/>
    </xf>
    <xf numFmtId="0" fontId="33" fillId="8" borderId="7" xfId="0" applyFont="1" applyFill="1" applyBorder="1" applyAlignment="1">
      <alignment horizontal="left" vertical="top" wrapText="1"/>
    </xf>
    <xf numFmtId="0" fontId="22" fillId="8" borderId="7" xfId="0" applyFont="1" applyFill="1" applyBorder="1" applyAlignment="1">
      <alignment wrapText="1"/>
    </xf>
    <xf numFmtId="189" fontId="44" fillId="8" borderId="3" xfId="0" applyNumberFormat="1" applyFont="1" applyFill="1" applyBorder="1" applyAlignment="1">
      <alignment vertical="top"/>
    </xf>
    <xf numFmtId="0" fontId="44" fillId="8" borderId="2" xfId="0" applyFont="1" applyFill="1" applyBorder="1" applyAlignment="1">
      <alignment vertical="top" wrapText="1"/>
    </xf>
    <xf numFmtId="189" fontId="44" fillId="8" borderId="7" xfId="0" applyNumberFormat="1" applyFont="1" applyFill="1" applyBorder="1" applyAlignment="1">
      <alignment horizontal="center" vertical="top"/>
    </xf>
    <xf numFmtId="195" fontId="40" fillId="8" borderId="2" xfId="0" applyNumberFormat="1" applyFont="1" applyFill="1" applyBorder="1" applyAlignment="1">
      <alignment horizontal="center" vertical="top"/>
    </xf>
    <xf numFmtId="190" fontId="40" fillId="8" borderId="2" xfId="0" applyNumberFormat="1" applyFont="1" applyFill="1" applyBorder="1" applyAlignment="1">
      <alignment horizontal="center" vertical="top"/>
    </xf>
    <xf numFmtId="189" fontId="44" fillId="8" borderId="7" xfId="0" applyNumberFormat="1" applyFont="1" applyFill="1" applyBorder="1" applyAlignment="1">
      <alignment vertical="top"/>
    </xf>
    <xf numFmtId="189" fontId="44" fillId="8" borderId="2" xfId="0" applyNumberFormat="1" applyFont="1" applyFill="1" applyBorder="1" applyAlignment="1">
      <alignment vertical="top"/>
    </xf>
    <xf numFmtId="0" fontId="47" fillId="4" borderId="0" xfId="0" applyFont="1" applyFill="1"/>
    <xf numFmtId="0" fontId="47" fillId="4" borderId="1" xfId="0" applyFont="1" applyFill="1" applyBorder="1"/>
    <xf numFmtId="3" fontId="47" fillId="4" borderId="1" xfId="0" applyNumberFormat="1" applyFont="1" applyFill="1" applyBorder="1"/>
    <xf numFmtId="0" fontId="47" fillId="4" borderId="0" xfId="0" applyFont="1" applyFill="1" applyAlignment="1">
      <alignment horizontal="center"/>
    </xf>
    <xf numFmtId="0" fontId="47" fillId="4" borderId="0" xfId="0" applyFont="1" applyFill="1" applyAlignment="1">
      <alignment horizontal="left"/>
    </xf>
    <xf numFmtId="187" fontId="47" fillId="4" borderId="0" xfId="0" applyNumberFormat="1" applyFont="1" applyFill="1" applyAlignment="1">
      <alignment horizontal="center"/>
    </xf>
    <xf numFmtId="0" fontId="21" fillId="4" borderId="0" xfId="0" applyFont="1" applyFill="1" applyAlignment="1" applyProtection="1">
      <alignment vertical="top"/>
      <protection hidden="1"/>
    </xf>
    <xf numFmtId="49" fontId="23" fillId="4" borderId="0" xfId="0" applyNumberFormat="1" applyFont="1" applyFill="1"/>
    <xf numFmtId="191" fontId="33" fillId="9" borderId="10" xfId="0" applyNumberFormat="1" applyFont="1" applyFill="1" applyBorder="1" applyAlignment="1">
      <alignment horizontal="center" vertical="center"/>
    </xf>
    <xf numFmtId="0" fontId="33" fillId="9" borderId="10" xfId="0" applyFont="1" applyFill="1" applyBorder="1" applyAlignment="1">
      <alignment horizontal="center" vertical="center"/>
    </xf>
    <xf numFmtId="0" fontId="33" fillId="9" borderId="10" xfId="0" applyFont="1" applyFill="1" applyBorder="1" applyAlignment="1">
      <alignment horizontal="center" vertical="center" wrapText="1"/>
    </xf>
    <xf numFmtId="0" fontId="33" fillId="9" borderId="14" xfId="0" applyFont="1" applyFill="1" applyBorder="1" applyAlignment="1">
      <alignment horizontal="center" vertical="center"/>
    </xf>
    <xf numFmtId="197" fontId="21" fillId="5" borderId="21" xfId="0" applyNumberFormat="1" applyFont="1" applyFill="1" applyBorder="1"/>
    <xf numFmtId="49" fontId="3" fillId="5" borderId="22" xfId="0" applyNumberFormat="1" applyFont="1" applyFill="1" applyBorder="1"/>
    <xf numFmtId="49" fontId="22" fillId="7" borderId="0" xfId="0" applyNumberFormat="1" applyFont="1" applyFill="1"/>
    <xf numFmtId="49" fontId="22" fillId="6" borderId="9" xfId="0" applyNumberFormat="1" applyFont="1" applyFill="1" applyBorder="1" applyAlignment="1">
      <alignment vertical="top"/>
    </xf>
    <xf numFmtId="49" fontId="22" fillId="4" borderId="9" xfId="0" applyNumberFormat="1" applyFont="1" applyFill="1" applyBorder="1"/>
    <xf numFmtId="189" fontId="33" fillId="8" borderId="10" xfId="0" applyNumberFormat="1" applyFont="1" applyFill="1" applyBorder="1" applyAlignment="1">
      <alignment horizontal="center" vertical="top"/>
    </xf>
    <xf numFmtId="189" fontId="22" fillId="4" borderId="13" xfId="0" applyNumberFormat="1" applyFont="1" applyFill="1" applyBorder="1"/>
    <xf numFmtId="189" fontId="22" fillId="4" borderId="5" xfId="0" applyNumberFormat="1" applyFont="1" applyFill="1" applyBorder="1"/>
    <xf numFmtId="189" fontId="22" fillId="4" borderId="16" xfId="0" applyNumberFormat="1" applyFont="1" applyFill="1" applyBorder="1"/>
    <xf numFmtId="189" fontId="22" fillId="4" borderId="6" xfId="0" applyNumberFormat="1" applyFont="1" applyFill="1" applyBorder="1"/>
    <xf numFmtId="193" fontId="22" fillId="8" borderId="7" xfId="0" applyNumberFormat="1" applyFont="1" applyFill="1" applyBorder="1" applyAlignment="1">
      <alignment vertical="top" wrapText="1"/>
    </xf>
    <xf numFmtId="0" fontId="22" fillId="4" borderId="13" xfId="0" applyFont="1" applyFill="1" applyBorder="1"/>
    <xf numFmtId="0" fontId="22" fillId="4" borderId="16" xfId="0" applyFont="1" applyFill="1" applyBorder="1"/>
    <xf numFmtId="191" fontId="22" fillId="4" borderId="16" xfId="0" applyNumberFormat="1" applyFont="1" applyFill="1" applyBorder="1" applyAlignment="1">
      <alignment vertical="top"/>
    </xf>
    <xf numFmtId="191" fontId="22" fillId="4" borderId="6" xfId="0" applyNumberFormat="1" applyFont="1" applyFill="1" applyBorder="1" applyAlignment="1">
      <alignment vertical="top"/>
    </xf>
    <xf numFmtId="0" fontId="0" fillId="0" borderId="3" xfId="0" applyBorder="1"/>
    <xf numFmtId="0" fontId="0" fillId="0" borderId="8" xfId="0" applyBorder="1"/>
    <xf numFmtId="191" fontId="22" fillId="4" borderId="13" xfId="0" applyNumberFormat="1" applyFont="1" applyFill="1" applyBorder="1"/>
    <xf numFmtId="191" fontId="22" fillId="4" borderId="5" xfId="0" applyNumberFormat="1" applyFont="1" applyFill="1" applyBorder="1"/>
    <xf numFmtId="49" fontId="22" fillId="4" borderId="10" xfId="0" applyNumberFormat="1" applyFont="1" applyFill="1" applyBorder="1" applyAlignment="1">
      <alignment vertical="top" wrapText="1"/>
    </xf>
    <xf numFmtId="49" fontId="22" fillId="4" borderId="5" xfId="0" applyNumberFormat="1" applyFont="1" applyFill="1" applyBorder="1" applyAlignment="1">
      <alignment vertical="top" wrapText="1"/>
    </xf>
    <xf numFmtId="49" fontId="22" fillId="4" borderId="6" xfId="0" applyNumberFormat="1" applyFont="1" applyFill="1" applyBorder="1" applyAlignment="1">
      <alignment vertical="top" wrapText="1"/>
    </xf>
    <xf numFmtId="189" fontId="44" fillId="4" borderId="13" xfId="0" applyNumberFormat="1" applyFont="1" applyFill="1" applyBorder="1"/>
    <xf numFmtId="189" fontId="44" fillId="4" borderId="5" xfId="0" applyNumberFormat="1" applyFont="1" applyFill="1" applyBorder="1"/>
    <xf numFmtId="190" fontId="22" fillId="4" borderId="16" xfId="0" applyNumberFormat="1" applyFont="1" applyFill="1" applyBorder="1"/>
    <xf numFmtId="190" fontId="22" fillId="4" borderId="6" xfId="0" applyNumberFormat="1" applyFont="1" applyFill="1" applyBorder="1"/>
    <xf numFmtId="49" fontId="22" fillId="7" borderId="19" xfId="0" applyNumberFormat="1" applyFont="1" applyFill="1" applyBorder="1"/>
    <xf numFmtId="49" fontId="22" fillId="6" borderId="19" xfId="0" applyNumberFormat="1" applyFont="1" applyFill="1" applyBorder="1"/>
    <xf numFmtId="0" fontId="22" fillId="4" borderId="12" xfId="0" applyFont="1" applyFill="1" applyBorder="1"/>
    <xf numFmtId="49" fontId="22" fillId="4" borderId="19" xfId="0" applyNumberFormat="1" applyFont="1" applyFill="1" applyBorder="1"/>
    <xf numFmtId="193" fontId="22" fillId="8" borderId="2" xfId="0" applyNumberFormat="1" applyFont="1" applyFill="1" applyBorder="1" applyAlignment="1">
      <alignment vertical="top" wrapText="1"/>
    </xf>
    <xf numFmtId="191" fontId="22" fillId="4" borderId="16" xfId="0" applyNumberFormat="1" applyFont="1" applyFill="1" applyBorder="1" applyAlignment="1">
      <alignment horizontal="center" vertical="top"/>
    </xf>
    <xf numFmtId="191" fontId="22" fillId="4" borderId="6" xfId="0" applyNumberFormat="1" applyFont="1" applyFill="1" applyBorder="1" applyAlignment="1">
      <alignment horizontal="center" vertical="top"/>
    </xf>
    <xf numFmtId="190" fontId="33" fillId="8" borderId="10" xfId="0" applyNumberFormat="1" applyFont="1" applyFill="1" applyBorder="1" applyAlignment="1">
      <alignment horizontal="center" vertical="top"/>
    </xf>
    <xf numFmtId="191" fontId="22" fillId="4" borderId="13" xfId="0" applyNumberFormat="1" applyFont="1" applyFill="1" applyBorder="1" applyAlignment="1">
      <alignment vertical="top"/>
    </xf>
    <xf numFmtId="191" fontId="22" fillId="4" borderId="5" xfId="0" applyNumberFormat="1" applyFont="1" applyFill="1" applyBorder="1" applyAlignment="1">
      <alignment vertical="top"/>
    </xf>
    <xf numFmtId="0" fontId="49" fillId="8" borderId="3" xfId="0" applyFont="1" applyFill="1" applyBorder="1" applyAlignment="1">
      <alignment horizontal="left" vertical="top" wrapText="1"/>
    </xf>
    <xf numFmtId="0" fontId="38" fillId="8" borderId="7" xfId="0" applyFont="1" applyFill="1" applyBorder="1" applyAlignment="1">
      <alignment vertical="top" wrapText="1"/>
    </xf>
    <xf numFmtId="0" fontId="1" fillId="4" borderId="0" xfId="0" applyFont="1" applyFill="1"/>
    <xf numFmtId="189" fontId="33" fillId="8" borderId="5" xfId="0" applyNumberFormat="1" applyFont="1" applyFill="1" applyBorder="1" applyAlignment="1">
      <alignment horizontal="center" vertical="top"/>
    </xf>
    <xf numFmtId="191" fontId="44" fillId="4" borderId="5" xfId="0" applyNumberFormat="1" applyFont="1" applyFill="1" applyBorder="1" applyAlignment="1">
      <alignment horizontal="center" vertical="top"/>
    </xf>
    <xf numFmtId="189" fontId="22" fillId="4" borderId="5" xfId="0" applyNumberFormat="1" applyFont="1" applyFill="1" applyBorder="1" applyAlignment="1">
      <alignment vertical="top"/>
    </xf>
    <xf numFmtId="191" fontId="44" fillId="4" borderId="6" xfId="0" applyNumberFormat="1" applyFont="1" applyFill="1" applyBorder="1" applyAlignment="1">
      <alignment horizontal="center" vertical="top"/>
    </xf>
    <xf numFmtId="189" fontId="44" fillId="4" borderId="5" xfId="0" applyNumberFormat="1" applyFont="1" applyFill="1" applyBorder="1" applyAlignment="1">
      <alignment vertical="top"/>
    </xf>
    <xf numFmtId="191" fontId="44" fillId="4" borderId="5" xfId="0" applyNumberFormat="1" applyFont="1" applyFill="1" applyBorder="1" applyAlignment="1">
      <alignment vertical="top"/>
    </xf>
    <xf numFmtId="190" fontId="22" fillId="4" borderId="5" xfId="0" applyNumberFormat="1" applyFont="1" applyFill="1" applyBorder="1"/>
    <xf numFmtId="49" fontId="26" fillId="4" borderId="0" xfId="0" applyNumberFormat="1" applyFont="1" applyFill="1"/>
    <xf numFmtId="187" fontId="50" fillId="4" borderId="0" xfId="0" applyNumberFormat="1" applyFont="1" applyFill="1" applyAlignment="1">
      <alignment horizontal="center" vertical="top"/>
    </xf>
    <xf numFmtId="187" fontId="3" fillId="4" borderId="0" xfId="0" applyNumberFormat="1" applyFont="1" applyFill="1" applyAlignment="1">
      <alignment vertical="center"/>
    </xf>
    <xf numFmtId="187" fontId="23" fillId="4" borderId="0" xfId="0" applyNumberFormat="1" applyFont="1" applyFill="1"/>
    <xf numFmtId="187" fontId="21" fillId="4" borderId="0" xfId="0" applyNumberFormat="1" applyFont="1" applyFill="1"/>
    <xf numFmtId="0" fontId="21" fillId="4" borderId="0" xfId="0" applyFont="1" applyFill="1" applyAlignment="1">
      <alignment horizontal="center" vertical="center"/>
    </xf>
    <xf numFmtId="187" fontId="21" fillId="4" borderId="0" xfId="0" applyNumberFormat="1" applyFont="1" applyFill="1" applyAlignment="1">
      <alignment vertical="center"/>
    </xf>
    <xf numFmtId="187" fontId="21" fillId="4" borderId="31" xfId="0" applyNumberFormat="1" applyFont="1" applyFill="1" applyBorder="1" applyAlignment="1">
      <alignment horizontal="center"/>
    </xf>
    <xf numFmtId="187" fontId="50" fillId="4" borderId="0" xfId="0" applyNumberFormat="1" applyFont="1" applyFill="1" applyAlignment="1">
      <alignment vertical="center"/>
    </xf>
    <xf numFmtId="187" fontId="23" fillId="4" borderId="0" xfId="0" applyNumberFormat="1" applyFont="1" applyFill="1" applyAlignment="1">
      <alignment vertical="center"/>
    </xf>
    <xf numFmtId="187" fontId="23" fillId="4" borderId="0" xfId="0" applyNumberFormat="1" applyFont="1" applyFill="1" applyAlignment="1">
      <alignment horizontal="left" vertical="top"/>
    </xf>
    <xf numFmtId="49" fontId="23" fillId="4" borderId="0" xfId="0" applyNumberFormat="1" applyFont="1" applyFill="1" applyAlignment="1">
      <alignment horizontal="center" vertical="center"/>
    </xf>
    <xf numFmtId="187" fontId="6" fillId="4" borderId="0" xfId="0" applyNumberFormat="1" applyFont="1" applyFill="1" applyAlignment="1">
      <alignment vertical="center"/>
    </xf>
    <xf numFmtId="187" fontId="3" fillId="4" borderId="0" xfId="0" applyNumberFormat="1" applyFont="1" applyFill="1" applyAlignment="1">
      <alignment horizontal="left" vertical="top"/>
    </xf>
    <xf numFmtId="187" fontId="3" fillId="4" borderId="0" xfId="0" applyNumberFormat="1" applyFont="1" applyFill="1" applyAlignment="1">
      <alignment horizontal="left" vertical="top" wrapText="1"/>
    </xf>
    <xf numFmtId="187" fontId="3" fillId="4" borderId="0" xfId="0" applyNumberFormat="1" applyFont="1" applyFill="1" applyAlignment="1">
      <alignment horizontal="center" vertical="center"/>
    </xf>
    <xf numFmtId="0" fontId="51" fillId="10" borderId="1" xfId="0" applyFont="1" applyFill="1" applyBorder="1" applyAlignment="1">
      <alignment horizontal="center" vertical="top" wrapText="1"/>
    </xf>
    <xf numFmtId="0" fontId="21" fillId="10" borderId="1" xfId="0" applyFont="1" applyFill="1" applyBorder="1" applyAlignment="1">
      <alignment horizontal="center" vertical="top" wrapText="1"/>
    </xf>
    <xf numFmtId="0" fontId="50" fillId="4" borderId="0" xfId="0" applyFont="1" applyFill="1" applyAlignment="1">
      <alignment horizontal="center" vertical="top"/>
    </xf>
    <xf numFmtId="0" fontId="52" fillId="8" borderId="10" xfId="0" applyFont="1" applyFill="1" applyBorder="1" applyAlignment="1">
      <alignment horizontal="center" vertical="top" wrapText="1"/>
    </xf>
    <xf numFmtId="187" fontId="6" fillId="8" borderId="1" xfId="0" applyNumberFormat="1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/>
    </xf>
    <xf numFmtId="0" fontId="53" fillId="4" borderId="0" xfId="0" applyFont="1" applyFill="1"/>
    <xf numFmtId="0" fontId="52" fillId="4" borderId="5" xfId="0" applyFont="1" applyFill="1" applyBorder="1" applyAlignment="1">
      <alignment horizontal="center" vertical="top" wrapText="1"/>
    </xf>
    <xf numFmtId="187" fontId="6" fillId="4" borderId="1" xfId="0" applyNumberFormat="1" applyFont="1" applyFill="1" applyBorder="1" applyAlignment="1">
      <alignment horizontal="center" vertical="top" wrapText="1"/>
    </xf>
    <xf numFmtId="0" fontId="51" fillId="4" borderId="5" xfId="0" applyFont="1" applyFill="1" applyBorder="1"/>
    <xf numFmtId="0" fontId="23" fillId="4" borderId="1" xfId="0" applyFont="1" applyFill="1" applyBorder="1" applyAlignment="1">
      <alignment horizontal="center" vertical="top"/>
    </xf>
    <xf numFmtId="3" fontId="23" fillId="4" borderId="1" xfId="0" applyNumberFormat="1" applyFont="1" applyFill="1" applyBorder="1" applyAlignment="1">
      <alignment horizontal="center" vertical="top"/>
    </xf>
    <xf numFmtId="3" fontId="23" fillId="4" borderId="2" xfId="0" applyNumberFormat="1" applyFont="1" applyFill="1" applyBorder="1" applyAlignment="1">
      <alignment vertical="top"/>
    </xf>
    <xf numFmtId="0" fontId="50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3" fontId="3" fillId="4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 wrapText="1"/>
    </xf>
    <xf numFmtId="0" fontId="47" fillId="4" borderId="16" xfId="0" applyFont="1" applyFill="1" applyBorder="1" applyAlignment="1">
      <alignment vertical="top" wrapText="1"/>
    </xf>
    <xf numFmtId="0" fontId="47" fillId="4" borderId="17" xfId="0" applyFont="1" applyFill="1" applyBorder="1" applyAlignment="1">
      <alignment vertical="top" wrapText="1"/>
    </xf>
    <xf numFmtId="0" fontId="47" fillId="4" borderId="15" xfId="0" applyFont="1" applyFill="1" applyBorder="1" applyAlignment="1">
      <alignment vertical="top" wrapText="1"/>
    </xf>
    <xf numFmtId="0" fontId="53" fillId="4" borderId="13" xfId="0" applyFont="1" applyFill="1" applyBorder="1" applyAlignment="1">
      <alignment horizontal="center" vertical="top" wrapText="1"/>
    </xf>
    <xf numFmtId="0" fontId="53" fillId="4" borderId="0" xfId="0" applyFont="1" applyFill="1" applyAlignment="1">
      <alignment horizontal="center" vertical="top" wrapText="1"/>
    </xf>
    <xf numFmtId="0" fontId="53" fillId="4" borderId="20" xfId="0" applyFont="1" applyFill="1" applyBorder="1" applyAlignment="1">
      <alignment horizontal="center" vertical="top" wrapText="1"/>
    </xf>
    <xf numFmtId="0" fontId="23" fillId="4" borderId="13" xfId="0" applyFont="1" applyFill="1" applyBorder="1" applyAlignment="1">
      <alignment horizontal="left" vertical="top" wrapText="1"/>
    </xf>
    <xf numFmtId="0" fontId="23" fillId="4" borderId="0" xfId="0" applyFont="1" applyFill="1" applyAlignment="1">
      <alignment horizontal="left" vertical="top" wrapText="1"/>
    </xf>
    <xf numFmtId="0" fontId="23" fillId="4" borderId="20" xfId="0" applyFont="1" applyFill="1" applyBorder="1" applyAlignment="1">
      <alignment horizontal="left" vertical="top" wrapText="1"/>
    </xf>
    <xf numFmtId="0" fontId="3" fillId="8" borderId="12" xfId="0" applyFont="1" applyFill="1" applyBorder="1" applyAlignment="1">
      <alignment horizontal="left" vertical="top" wrapText="1"/>
    </xf>
    <xf numFmtId="0" fontId="3" fillId="8" borderId="9" xfId="0" applyFont="1" applyFill="1" applyBorder="1" applyAlignment="1">
      <alignment horizontal="left" vertical="top" wrapText="1"/>
    </xf>
    <xf numFmtId="0" fontId="3" fillId="8" borderId="19" xfId="0" applyFont="1" applyFill="1" applyBorder="1" applyAlignment="1">
      <alignment horizontal="left" vertical="top" wrapText="1"/>
    </xf>
    <xf numFmtId="187" fontId="6" fillId="8" borderId="1" xfId="0" applyNumberFormat="1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47" fillId="4" borderId="13" xfId="0" applyFont="1" applyFill="1" applyBorder="1" applyAlignment="1">
      <alignment horizontal="left" vertical="top" wrapText="1"/>
    </xf>
    <xf numFmtId="0" fontId="47" fillId="4" borderId="0" xfId="0" applyFont="1" applyFill="1" applyAlignment="1">
      <alignment horizontal="left" vertical="top" wrapText="1"/>
    </xf>
    <xf numFmtId="0" fontId="47" fillId="4" borderId="20" xfId="0" applyFont="1" applyFill="1" applyBorder="1" applyAlignment="1">
      <alignment horizontal="left" vertical="top" wrapText="1"/>
    </xf>
    <xf numFmtId="0" fontId="51" fillId="4" borderId="6" xfId="0" applyFont="1" applyFill="1" applyBorder="1"/>
    <xf numFmtId="0" fontId="23" fillId="4" borderId="16" xfId="0" applyFont="1" applyFill="1" applyBorder="1" applyAlignment="1">
      <alignment horizontal="left" vertical="top" wrapText="1"/>
    </xf>
    <xf numFmtId="0" fontId="23" fillId="4" borderId="17" xfId="0" applyFont="1" applyFill="1" applyBorder="1" applyAlignment="1">
      <alignment horizontal="left" vertical="top" wrapText="1"/>
    </xf>
    <xf numFmtId="0" fontId="47" fillId="4" borderId="16" xfId="0" applyFont="1" applyFill="1" applyBorder="1" applyAlignment="1">
      <alignment horizontal="left" vertical="top" wrapText="1"/>
    </xf>
    <xf numFmtId="0" fontId="47" fillId="4" borderId="17" xfId="0" applyFont="1" applyFill="1" applyBorder="1" applyAlignment="1">
      <alignment horizontal="left" vertical="top" wrapText="1"/>
    </xf>
    <xf numFmtId="0" fontId="47" fillId="4" borderId="15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top"/>
    </xf>
    <xf numFmtId="0" fontId="54" fillId="4" borderId="13" xfId="0" applyFont="1" applyFill="1" applyBorder="1" applyAlignment="1">
      <alignment horizontal="left" vertical="top" wrapText="1"/>
    </xf>
    <xf numFmtId="0" fontId="54" fillId="4" borderId="0" xfId="0" applyFont="1" applyFill="1" applyAlignment="1">
      <alignment horizontal="left" vertical="top" wrapText="1"/>
    </xf>
    <xf numFmtId="0" fontId="54" fillId="4" borderId="20" xfId="0" applyFont="1" applyFill="1" applyBorder="1" applyAlignment="1">
      <alignment horizontal="left" vertical="top" wrapText="1"/>
    </xf>
    <xf numFmtId="0" fontId="54" fillId="4" borderId="16" xfId="0" applyFont="1" applyFill="1" applyBorder="1" applyAlignment="1">
      <alignment horizontal="left" vertical="top" wrapText="1"/>
    </xf>
    <xf numFmtId="0" fontId="54" fillId="4" borderId="17" xfId="0" applyFont="1" applyFill="1" applyBorder="1" applyAlignment="1">
      <alignment horizontal="left" vertical="top" wrapText="1"/>
    </xf>
    <xf numFmtId="0" fontId="54" fillId="4" borderId="15" xfId="0" applyFont="1" applyFill="1" applyBorder="1" applyAlignment="1">
      <alignment horizontal="left" vertical="top" wrapText="1"/>
    </xf>
    <xf numFmtId="0" fontId="53" fillId="4" borderId="16" xfId="0" applyFont="1" applyFill="1" applyBorder="1" applyAlignment="1">
      <alignment horizontal="center" vertical="top" wrapText="1"/>
    </xf>
    <xf numFmtId="0" fontId="53" fillId="4" borderId="17" xfId="0" applyFont="1" applyFill="1" applyBorder="1" applyAlignment="1">
      <alignment horizontal="center" vertical="top" wrapText="1"/>
    </xf>
    <xf numFmtId="0" fontId="53" fillId="4" borderId="15" xfId="0" applyFont="1" applyFill="1" applyBorder="1" applyAlignment="1">
      <alignment horizontal="center" vertical="top" wrapText="1"/>
    </xf>
    <xf numFmtId="3" fontId="6" fillId="4" borderId="1" xfId="0" applyNumberFormat="1" applyFont="1" applyFill="1" applyBorder="1" applyAlignment="1">
      <alignment horizontal="center" vertical="top" wrapText="1"/>
    </xf>
    <xf numFmtId="0" fontId="52" fillId="8" borderId="10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top" wrapText="1"/>
    </xf>
    <xf numFmtId="43" fontId="6" fillId="8" borderId="1" xfId="0" applyNumberFormat="1" applyFont="1" applyFill="1" applyBorder="1" applyAlignment="1">
      <alignment horizontal="center" vertical="top" wrapText="1"/>
    </xf>
    <xf numFmtId="43" fontId="6" fillId="4" borderId="1" xfId="0" applyNumberFormat="1" applyFont="1" applyFill="1" applyBorder="1" applyAlignment="1">
      <alignment horizontal="center" vertical="top" wrapText="1"/>
    </xf>
    <xf numFmtId="4" fontId="23" fillId="4" borderId="1" xfId="0" applyNumberFormat="1" applyFont="1" applyFill="1" applyBorder="1" applyAlignment="1">
      <alignment horizontal="center" vertical="top"/>
    </xf>
    <xf numFmtId="0" fontId="52" fillId="4" borderId="12" xfId="0" applyFont="1" applyFill="1" applyBorder="1"/>
    <xf numFmtId="0" fontId="52" fillId="4" borderId="9" xfId="0" applyFont="1" applyFill="1" applyBorder="1" applyAlignment="1">
      <alignment horizontal="right"/>
    </xf>
    <xf numFmtId="0" fontId="52" fillId="4" borderId="19" xfId="0" applyFont="1" applyFill="1" applyBorder="1"/>
    <xf numFmtId="187" fontId="52" fillId="4" borderId="1" xfId="0" applyNumberFormat="1" applyFont="1" applyFill="1" applyBorder="1" applyAlignment="1">
      <alignment horizontal="center" vertical="center"/>
    </xf>
    <xf numFmtId="0" fontId="52" fillId="4" borderId="0" xfId="0" applyFont="1" applyFill="1"/>
    <xf numFmtId="0" fontId="51" fillId="4" borderId="0" xfId="0" applyFont="1" applyFill="1"/>
    <xf numFmtId="3" fontId="47" fillId="4" borderId="0" xfId="0" applyNumberFormat="1" applyFont="1" applyFill="1"/>
    <xf numFmtId="0" fontId="56" fillId="4" borderId="0" xfId="0" applyFont="1" applyFill="1"/>
    <xf numFmtId="0" fontId="57" fillId="4" borderId="0" xfId="0" applyFont="1" applyFill="1"/>
    <xf numFmtId="0" fontId="58" fillId="4" borderId="0" xfId="0" applyFont="1" applyFill="1" applyAlignment="1">
      <alignment horizontal="center" vertical="top"/>
    </xf>
    <xf numFmtId="187" fontId="60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top" wrapText="1"/>
      <protection hidden="1"/>
    </xf>
    <xf numFmtId="187" fontId="3" fillId="0" borderId="0" xfId="0" applyNumberFormat="1" applyFont="1"/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81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>
      <alignment vertical="center"/>
    </xf>
    <xf numFmtId="0" fontId="2" fillId="0" borderId="0" xfId="0" applyFont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2" fillId="0" borderId="0" xfId="0" applyFont="1"/>
    <xf numFmtId="0" fontId="53" fillId="4" borderId="1" xfId="0" applyFont="1" applyFill="1" applyBorder="1" applyAlignment="1">
      <alignment horizontal="center" vertical="top" wrapText="1"/>
    </xf>
    <xf numFmtId="0" fontId="52" fillId="0" borderId="10" xfId="0" applyFont="1" applyBorder="1" applyAlignment="1">
      <alignment horizontal="center" vertical="center" wrapText="1"/>
    </xf>
    <xf numFmtId="187" fontId="52" fillId="0" borderId="1" xfId="0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3" fillId="4" borderId="1" xfId="0" applyFont="1" applyFill="1" applyBorder="1"/>
    <xf numFmtId="0" fontId="53" fillId="4" borderId="1" xfId="0" applyFont="1" applyFill="1" applyBorder="1" applyAlignment="1">
      <alignment vertical="top" wrapText="1"/>
    </xf>
    <xf numFmtId="3" fontId="53" fillId="4" borderId="1" xfId="0" applyNumberFormat="1" applyFont="1" applyFill="1" applyBorder="1" applyAlignment="1">
      <alignment horizontal="left" vertical="top" wrapText="1"/>
    </xf>
    <xf numFmtId="0" fontId="53" fillId="4" borderId="1" xfId="0" applyFont="1" applyFill="1" applyBorder="1" applyAlignment="1">
      <alignment horizontal="left" vertical="top" wrapText="1"/>
    </xf>
    <xf numFmtId="0" fontId="53" fillId="4" borderId="1" xfId="0" applyFont="1" applyFill="1" applyBorder="1" applyAlignment="1">
      <alignment horizontal="center" vertical="top"/>
    </xf>
    <xf numFmtId="0" fontId="53" fillId="4" borderId="1" xfId="0" applyFont="1" applyFill="1" applyBorder="1" applyAlignment="1">
      <alignment vertical="top"/>
    </xf>
    <xf numFmtId="0" fontId="53" fillId="4" borderId="12" xfId="0" applyFont="1" applyFill="1" applyBorder="1"/>
    <xf numFmtId="0" fontId="53" fillId="4" borderId="9" xfId="0" applyFont="1" applyFill="1" applyBorder="1"/>
    <xf numFmtId="3" fontId="52" fillId="4" borderId="1" xfId="0" applyNumberFormat="1" applyFont="1" applyFill="1" applyBorder="1" applyAlignment="1">
      <alignment horizontal="right" vertical="center"/>
    </xf>
    <xf numFmtId="187" fontId="53" fillId="4" borderId="1" xfId="0" applyNumberFormat="1" applyFont="1" applyFill="1" applyBorder="1" applyAlignment="1">
      <alignment horizontal="left" vertical="top" wrapText="1" shrinkToFit="1"/>
    </xf>
    <xf numFmtId="187" fontId="53" fillId="4" borderId="1" xfId="0" applyNumberFormat="1" applyFont="1" applyFill="1" applyBorder="1" applyAlignment="1">
      <alignment horizontal="center" vertical="top" wrapText="1"/>
    </xf>
    <xf numFmtId="3" fontId="53" fillId="4" borderId="1" xfId="0" applyNumberFormat="1" applyFont="1" applyFill="1" applyBorder="1"/>
    <xf numFmtId="3" fontId="52" fillId="4" borderId="1" xfId="0" applyNumberFormat="1" applyFont="1" applyFill="1" applyBorder="1"/>
    <xf numFmtId="187" fontId="52" fillId="0" borderId="14" xfId="0" applyNumberFormat="1" applyFont="1" applyBorder="1" applyAlignment="1">
      <alignment horizontal="center" vertical="center" wrapText="1"/>
    </xf>
    <xf numFmtId="187" fontId="52" fillId="4" borderId="12" xfId="0" applyNumberFormat="1" applyFont="1" applyFill="1" applyBorder="1" applyAlignment="1">
      <alignment horizontal="right" vertical="top" wrapText="1"/>
    </xf>
    <xf numFmtId="187" fontId="52" fillId="4" borderId="12" xfId="0" applyNumberFormat="1" applyFont="1" applyFill="1" applyBorder="1" applyAlignment="1">
      <alignment horizontal="right" vertical="top" wrapText="1" shrinkToFit="1"/>
    </xf>
    <xf numFmtId="187" fontId="52" fillId="4" borderId="12" xfId="0" applyNumberFormat="1" applyFont="1" applyFill="1" applyBorder="1" applyAlignment="1">
      <alignment horizontal="right" vertical="center"/>
    </xf>
    <xf numFmtId="187" fontId="52" fillId="4" borderId="12" xfId="0" applyNumberFormat="1" applyFont="1" applyFill="1" applyBorder="1" applyAlignment="1">
      <alignment horizontal="center" vertical="top"/>
    </xf>
    <xf numFmtId="187" fontId="52" fillId="4" borderId="12" xfId="0" applyNumberFormat="1" applyFont="1" applyFill="1" applyBorder="1" applyAlignment="1">
      <alignment vertical="top" wrapText="1"/>
    </xf>
    <xf numFmtId="187" fontId="52" fillId="4" borderId="12" xfId="0" applyNumberFormat="1" applyFont="1" applyFill="1" applyBorder="1"/>
    <xf numFmtId="187" fontId="6" fillId="0" borderId="0" xfId="0" applyNumberFormat="1" applyFont="1" applyAlignment="1">
      <alignment horizontal="center" vertical="center" wrapText="1"/>
    </xf>
    <xf numFmtId="187" fontId="6" fillId="11" borderId="1" xfId="0" applyNumberFormat="1" applyFont="1" applyFill="1" applyBorder="1" applyAlignment="1">
      <alignment horizontal="center" vertical="center" wrapText="1"/>
    </xf>
    <xf numFmtId="187" fontId="6" fillId="11" borderId="19" xfId="0" applyNumberFormat="1" applyFont="1" applyFill="1" applyBorder="1" applyAlignment="1">
      <alignment horizontal="center" vertical="center" wrapText="1"/>
    </xf>
    <xf numFmtId="187" fontId="3" fillId="0" borderId="2" xfId="0" applyNumberFormat="1" applyFont="1" applyBorder="1" applyAlignment="1">
      <alignment vertical="center"/>
    </xf>
    <xf numFmtId="187" fontId="3" fillId="0" borderId="34" xfId="0" applyNumberFormat="1" applyFont="1" applyBorder="1" applyAlignment="1">
      <alignment vertical="center"/>
    </xf>
    <xf numFmtId="187" fontId="3" fillId="0" borderId="33" xfId="0" applyNumberFormat="1" applyFont="1" applyBorder="1" applyAlignment="1">
      <alignment vertical="center"/>
    </xf>
    <xf numFmtId="187" fontId="3" fillId="0" borderId="10" xfId="0" applyNumberFormat="1" applyFont="1" applyBorder="1" applyAlignment="1">
      <alignment vertical="center"/>
    </xf>
    <xf numFmtId="187" fontId="3" fillId="0" borderId="3" xfId="0" applyNumberFormat="1" applyFont="1" applyBorder="1" applyAlignment="1">
      <alignment vertical="center"/>
    </xf>
    <xf numFmtId="187" fontId="3" fillId="0" borderId="30" xfId="0" applyNumberFormat="1" applyFont="1" applyBorder="1" applyAlignment="1">
      <alignment vertical="center"/>
    </xf>
    <xf numFmtId="187" fontId="3" fillId="0" borderId="35" xfId="0" applyNumberFormat="1" applyFont="1" applyBorder="1" applyAlignment="1">
      <alignment vertical="center"/>
    </xf>
    <xf numFmtId="187" fontId="3" fillId="0" borderId="8" xfId="0" applyNumberFormat="1" applyFont="1" applyBorder="1" applyAlignment="1">
      <alignment vertical="center"/>
    </xf>
    <xf numFmtId="187" fontId="3" fillId="0" borderId="37" xfId="0" applyNumberFormat="1" applyFont="1" applyBorder="1" applyAlignment="1">
      <alignment vertical="center"/>
    </xf>
    <xf numFmtId="187" fontId="3" fillId="0" borderId="36" xfId="0" applyNumberFormat="1" applyFont="1" applyBorder="1" applyAlignment="1">
      <alignment vertical="center"/>
    </xf>
    <xf numFmtId="187" fontId="6" fillId="11" borderId="21" xfId="0" applyNumberFormat="1" applyFont="1" applyFill="1" applyBorder="1" applyAlignment="1">
      <alignment vertical="center"/>
    </xf>
    <xf numFmtId="187" fontId="6" fillId="0" borderId="14" xfId="0" applyNumberFormat="1" applyFont="1" applyBorder="1" applyAlignment="1">
      <alignment vertical="center"/>
    </xf>
    <xf numFmtId="187" fontId="6" fillId="0" borderId="11" xfId="0" applyNumberFormat="1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43" fontId="6" fillId="0" borderId="31" xfId="0" applyNumberFormat="1" applyFont="1" applyBorder="1"/>
    <xf numFmtId="43" fontId="6" fillId="0" borderId="0" xfId="0" applyNumberFormat="1" applyFont="1"/>
    <xf numFmtId="187" fontId="6" fillId="0" borderId="0" xfId="0" applyNumberFormat="1" applyFont="1" applyAlignment="1">
      <alignment horizontal="right"/>
    </xf>
    <xf numFmtId="187" fontId="6" fillId="0" borderId="0" xfId="0" applyNumberFormat="1" applyFont="1"/>
    <xf numFmtId="43" fontId="3" fillId="0" borderId="0" xfId="0" applyNumberFormat="1" applyFont="1" applyAlignment="1">
      <alignment vertical="center"/>
    </xf>
    <xf numFmtId="43" fontId="3" fillId="0" borderId="0" xfId="0" applyNumberFormat="1" applyFont="1"/>
    <xf numFmtId="187" fontId="3" fillId="0" borderId="0" xfId="0" applyNumberFormat="1" applyFont="1" applyAlignment="1">
      <alignment horizontal="right" vertical="center"/>
    </xf>
    <xf numFmtId="0" fontId="21" fillId="0" borderId="48" xfId="0" applyFont="1" applyBorder="1"/>
    <xf numFmtId="0" fontId="23" fillId="0" borderId="7" xfId="0" applyFont="1" applyBorder="1"/>
    <xf numFmtId="0" fontId="23" fillId="0" borderId="3" xfId="0" applyFont="1" applyBorder="1"/>
    <xf numFmtId="0" fontId="23" fillId="28" borderId="7" xfId="0" applyFont="1" applyFill="1" applyBorder="1"/>
    <xf numFmtId="0" fontId="23" fillId="28" borderId="25" xfId="0" applyFont="1" applyFill="1" applyBorder="1"/>
    <xf numFmtId="0" fontId="23" fillId="28" borderId="48" xfId="0" applyFont="1" applyFill="1" applyBorder="1"/>
    <xf numFmtId="0" fontId="21" fillId="0" borderId="3" xfId="0" applyFont="1" applyBorder="1"/>
    <xf numFmtId="0" fontId="23" fillId="28" borderId="3" xfId="0" applyFont="1" applyFill="1" applyBorder="1"/>
    <xf numFmtId="0" fontId="23" fillId="28" borderId="26" xfId="0" applyFont="1" applyFill="1" applyBorder="1"/>
    <xf numFmtId="0" fontId="23" fillId="0" borderId="26" xfId="0" applyFont="1" applyBorder="1"/>
    <xf numFmtId="0" fontId="84" fillId="0" borderId="3" xfId="0" applyFont="1" applyBorder="1"/>
    <xf numFmtId="49" fontId="23" fillId="0" borderId="3" xfId="0" applyNumberFormat="1" applyFont="1" applyBorder="1"/>
    <xf numFmtId="49" fontId="23" fillId="28" borderId="3" xfId="0" applyNumberFormat="1" applyFont="1" applyFill="1" applyBorder="1"/>
    <xf numFmtId="0" fontId="85" fillId="0" borderId="3" xfId="0" applyFont="1" applyBorder="1"/>
    <xf numFmtId="0" fontId="6" fillId="0" borderId="21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8" xfId="0" applyFont="1" applyBorder="1"/>
    <xf numFmtId="0" fontId="3" fillId="0" borderId="27" xfId="0" applyFont="1" applyBorder="1"/>
    <xf numFmtId="0" fontId="50" fillId="0" borderId="0" xfId="0" applyFont="1"/>
    <xf numFmtId="0" fontId="86" fillId="0" borderId="1" xfId="0" applyFont="1" applyBorder="1" applyAlignment="1">
      <alignment horizontal="center" vertical="center"/>
    </xf>
    <xf numFmtId="0" fontId="86" fillId="0" borderId="19" xfId="0" applyFont="1" applyBorder="1" applyAlignment="1">
      <alignment horizontal="center" vertical="center"/>
    </xf>
    <xf numFmtId="0" fontId="8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3" fillId="0" borderId="0" xfId="0" applyFont="1"/>
    <xf numFmtId="0" fontId="88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 wrapText="1"/>
    </xf>
    <xf numFmtId="0" fontId="89" fillId="0" borderId="0" xfId="0" applyFont="1" applyAlignment="1">
      <alignment horizontal="center" vertical="center"/>
    </xf>
    <xf numFmtId="0" fontId="90" fillId="0" borderId="0" xfId="0" applyFont="1"/>
    <xf numFmtId="0" fontId="90" fillId="0" borderId="0" xfId="0" applyFont="1" applyAlignment="1">
      <alignment horizontal="center" vertical="center"/>
    </xf>
    <xf numFmtId="0" fontId="89" fillId="0" borderId="0" xfId="0" applyFont="1" applyAlignment="1">
      <alignment horizontal="left" vertical="center"/>
    </xf>
    <xf numFmtId="0" fontId="89" fillId="0" borderId="1" xfId="0" applyFont="1" applyBorder="1" applyAlignment="1">
      <alignment horizontal="center" vertical="center" wrapText="1"/>
    </xf>
    <xf numFmtId="0" fontId="89" fillId="0" borderId="12" xfId="0" applyFont="1" applyBorder="1" applyAlignment="1">
      <alignment horizontal="center" vertical="center" wrapText="1"/>
    </xf>
    <xf numFmtId="0" fontId="89" fillId="0" borderId="11" xfId="0" applyFont="1" applyBorder="1" applyAlignment="1">
      <alignment horizontal="center" vertical="center" shrinkToFit="1"/>
    </xf>
    <xf numFmtId="0" fontId="89" fillId="0" borderId="6" xfId="0" applyFont="1" applyBorder="1" applyAlignment="1">
      <alignment horizontal="center" vertical="top" wrapText="1" shrinkToFit="1"/>
    </xf>
    <xf numFmtId="0" fontId="90" fillId="0" borderId="1" xfId="0" applyFont="1" applyBorder="1" applyAlignment="1">
      <alignment vertical="top" wrapText="1"/>
    </xf>
    <xf numFmtId="187" fontId="90" fillId="0" borderId="1" xfId="0" applyNumberFormat="1" applyFont="1" applyBorder="1" applyAlignment="1">
      <alignment horizontal="right" vertical="top" wrapText="1" shrinkToFit="1"/>
    </xf>
    <xf numFmtId="187" fontId="90" fillId="0" borderId="1" xfId="0" applyNumberFormat="1" applyFont="1" applyBorder="1" applyAlignment="1">
      <alignment horizontal="center" vertical="top" wrapText="1"/>
    </xf>
    <xf numFmtId="0" fontId="90" fillId="3" borderId="1" xfId="0" applyFont="1" applyFill="1" applyBorder="1" applyAlignment="1">
      <alignment horizontal="center" vertical="top" wrapText="1"/>
    </xf>
    <xf numFmtId="187" fontId="90" fillId="0" borderId="1" xfId="0" applyNumberFormat="1" applyFont="1" applyBorder="1" applyAlignment="1">
      <alignment horizontal="center" vertical="top" wrapText="1" shrinkToFit="1"/>
    </xf>
    <xf numFmtId="0" fontId="90" fillId="0" borderId="1" xfId="0" applyFont="1" applyBorder="1" applyAlignment="1">
      <alignment horizontal="center" vertical="top" wrapText="1"/>
    </xf>
    <xf numFmtId="0" fontId="90" fillId="0" borderId="1" xfId="0" applyFont="1" applyBorder="1" applyAlignment="1">
      <alignment vertical="top" wrapText="1" shrinkToFit="1"/>
    </xf>
    <xf numFmtId="3" fontId="90" fillId="0" borderId="1" xfId="0" applyNumberFormat="1" applyFont="1" applyBorder="1" applyAlignment="1">
      <alignment horizontal="center" vertical="top" wrapText="1" shrinkToFit="1"/>
    </xf>
    <xf numFmtId="0" fontId="90" fillId="0" borderId="1" xfId="0" applyFont="1" applyBorder="1" applyAlignment="1">
      <alignment horizontal="center" vertical="top" wrapText="1" shrinkToFit="1"/>
    </xf>
    <xf numFmtId="0" fontId="89" fillId="0" borderId="1" xfId="0" applyFont="1" applyBorder="1" applyAlignment="1">
      <alignment horizontal="center" vertical="top" wrapText="1" shrinkToFit="1"/>
    </xf>
    <xf numFmtId="187" fontId="89" fillId="0" borderId="1" xfId="0" applyNumberFormat="1" applyFont="1" applyBorder="1" applyAlignment="1">
      <alignment horizontal="right" vertical="top" wrapText="1" shrinkToFit="1"/>
    </xf>
    <xf numFmtId="187" fontId="89" fillId="0" borderId="1" xfId="0" applyNumberFormat="1" applyFont="1" applyBorder="1" applyAlignment="1">
      <alignment horizontal="center" vertical="top" wrapText="1" shrinkToFit="1"/>
    </xf>
    <xf numFmtId="187" fontId="89" fillId="0" borderId="1" xfId="0" applyNumberFormat="1" applyFont="1" applyBorder="1" applyAlignment="1">
      <alignment vertical="top" wrapText="1" shrinkToFit="1"/>
    </xf>
    <xf numFmtId="187" fontId="90" fillId="0" borderId="0" xfId="0" applyNumberFormat="1" applyFont="1"/>
    <xf numFmtId="187" fontId="90" fillId="0" borderId="0" xfId="0" applyNumberFormat="1" applyFont="1" applyAlignment="1">
      <alignment horizontal="center" vertical="top" wrapText="1" shrinkToFit="1"/>
    </xf>
    <xf numFmtId="3" fontId="90" fillId="0" borderId="0" xfId="0" applyNumberFormat="1" applyFont="1" applyAlignment="1">
      <alignment horizontal="right" vertical="top" wrapText="1"/>
    </xf>
    <xf numFmtId="187" fontId="91" fillId="0" borderId="0" xfId="0" applyNumberFormat="1" applyFont="1"/>
    <xf numFmtId="3" fontId="90" fillId="0" borderId="0" xfId="0" applyNumberFormat="1" applyFont="1"/>
    <xf numFmtId="0" fontId="82" fillId="0" borderId="1" xfId="0" applyFont="1" applyBorder="1" applyAlignment="1">
      <alignment vertical="top" wrapText="1"/>
    </xf>
    <xf numFmtId="0" fontId="91" fillId="0" borderId="1" xfId="0" applyFont="1" applyBorder="1" applyAlignment="1">
      <alignment vertical="top" wrapText="1" shrinkToFit="1"/>
    </xf>
    <xf numFmtId="0" fontId="16" fillId="0" borderId="0" xfId="0" applyFont="1" applyAlignment="1">
      <alignment horizontal="center"/>
    </xf>
    <xf numFmtId="0" fontId="11" fillId="0" borderId="17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13" fillId="0" borderId="10" xfId="0" applyFont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15" fillId="0" borderId="5" xfId="0" applyFont="1" applyBorder="1"/>
    <xf numFmtId="0" fontId="15" fillId="0" borderId="6" xfId="0" applyFont="1" applyBorder="1"/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6" fillId="4" borderId="17" xfId="0" applyFont="1" applyFill="1" applyBorder="1" applyAlignment="1">
      <alignment horizontal="center" vertical="center" wrapText="1"/>
    </xf>
    <xf numFmtId="0" fontId="83" fillId="4" borderId="17" xfId="0" applyFont="1" applyFill="1" applyBorder="1" applyAlignment="1">
      <alignment horizontal="center" vertical="center" wrapText="1"/>
    </xf>
    <xf numFmtId="0" fontId="52" fillId="4" borderId="12" xfId="0" applyFont="1" applyFill="1" applyBorder="1" applyAlignment="1">
      <alignment horizontal="left" vertical="center" wrapText="1"/>
    </xf>
    <xf numFmtId="0" fontId="52" fillId="4" borderId="9" xfId="0" applyFont="1" applyFill="1" applyBorder="1" applyAlignment="1">
      <alignment horizontal="left" vertical="center" wrapText="1"/>
    </xf>
    <xf numFmtId="0" fontId="57" fillId="4" borderId="19" xfId="0" applyFont="1" applyFill="1" applyBorder="1" applyAlignment="1">
      <alignment horizontal="left" vertical="center" wrapText="1"/>
    </xf>
    <xf numFmtId="0" fontId="52" fillId="4" borderId="9" xfId="0" applyFont="1" applyFill="1" applyBorder="1" applyAlignment="1">
      <alignment horizontal="right" wrapText="1"/>
    </xf>
    <xf numFmtId="0" fontId="52" fillId="4" borderId="19" xfId="0" applyFont="1" applyFill="1" applyBorder="1" applyAlignment="1">
      <alignment horizontal="right" wrapText="1"/>
    </xf>
    <xf numFmtId="0" fontId="52" fillId="4" borderId="9" xfId="0" applyFont="1" applyFill="1" applyBorder="1" applyAlignment="1">
      <alignment horizontal="right" vertical="center"/>
    </xf>
    <xf numFmtId="0" fontId="52" fillId="4" borderId="19" xfId="0" applyFont="1" applyFill="1" applyBorder="1" applyAlignment="1">
      <alignment horizontal="right" vertical="center"/>
    </xf>
    <xf numFmtId="0" fontId="52" fillId="0" borderId="12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0" fontId="53" fillId="0" borderId="9" xfId="0" applyFont="1" applyBorder="1"/>
    <xf numFmtId="0" fontId="90" fillId="0" borderId="0" xfId="0" applyFont="1" applyAlignment="1">
      <alignment wrapText="1"/>
    </xf>
    <xf numFmtId="0" fontId="89" fillId="0" borderId="10" xfId="0" applyFont="1" applyBorder="1" applyAlignment="1">
      <alignment horizontal="center" vertical="center" wrapText="1" shrinkToFit="1"/>
    </xf>
    <xf numFmtId="0" fontId="89" fillId="0" borderId="6" xfId="0" applyFont="1" applyBorder="1" applyAlignment="1">
      <alignment horizontal="center" vertical="center" wrapText="1" shrinkToFit="1"/>
    </xf>
    <xf numFmtId="0" fontId="89" fillId="0" borderId="5" xfId="0" applyFont="1" applyBorder="1" applyAlignment="1">
      <alignment horizontal="center" vertical="center" wrapText="1" shrinkToFit="1"/>
    </xf>
    <xf numFmtId="0" fontId="89" fillId="0" borderId="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/>
    </xf>
    <xf numFmtId="0" fontId="89" fillId="0" borderId="12" xfId="0" applyFont="1" applyBorder="1" applyAlignment="1">
      <alignment horizontal="center" vertical="center" shrinkToFit="1"/>
    </xf>
    <xf numFmtId="0" fontId="89" fillId="0" borderId="9" xfId="0" applyFont="1" applyBorder="1" applyAlignment="1">
      <alignment horizontal="center" vertical="center" shrinkToFit="1"/>
    </xf>
    <xf numFmtId="0" fontId="89" fillId="0" borderId="0" xfId="0" applyFont="1" applyAlignment="1">
      <alignment horizontal="center" vertical="center"/>
    </xf>
    <xf numFmtId="0" fontId="89" fillId="0" borderId="0" xfId="0" applyFont="1" applyAlignment="1">
      <alignment horizontal="center" vertical="top" wrapText="1"/>
    </xf>
    <xf numFmtId="0" fontId="89" fillId="0" borderId="0" xfId="0" applyFont="1" applyAlignment="1">
      <alignment horizontal="left" vertical="center"/>
    </xf>
    <xf numFmtId="0" fontId="89" fillId="0" borderId="0" xfId="0" applyFont="1" applyAlignment="1">
      <alignment horizontal="left" vertical="center" wrapText="1"/>
    </xf>
    <xf numFmtId="191" fontId="22" fillId="8" borderId="10" xfId="0" applyNumberFormat="1" applyFont="1" applyFill="1" applyBorder="1" applyAlignment="1">
      <alignment horizontal="left" vertical="top" wrapText="1"/>
    </xf>
    <xf numFmtId="191" fontId="22" fillId="8" borderId="5" xfId="0" applyNumberFormat="1" applyFont="1" applyFill="1" applyBorder="1" applyAlignment="1">
      <alignment horizontal="left" vertical="top" wrapText="1"/>
    </xf>
    <xf numFmtId="191" fontId="22" fillId="8" borderId="6" xfId="0" applyNumberFormat="1" applyFont="1" applyFill="1" applyBorder="1" applyAlignment="1">
      <alignment horizontal="left" vertical="top" wrapText="1"/>
    </xf>
    <xf numFmtId="0" fontId="33" fillId="4" borderId="10" xfId="0" applyFont="1" applyFill="1" applyBorder="1" applyAlignment="1">
      <alignment horizontal="center" vertical="top" wrapText="1"/>
    </xf>
    <xf numFmtId="0" fontId="33" fillId="4" borderId="5" xfId="0" applyFont="1" applyFill="1" applyBorder="1" applyAlignment="1">
      <alignment horizontal="center" vertical="top" wrapText="1"/>
    </xf>
    <xf numFmtId="0" fontId="33" fillId="4" borderId="6" xfId="0" applyFont="1" applyFill="1" applyBorder="1" applyAlignment="1">
      <alignment horizontal="center" vertical="top" wrapText="1"/>
    </xf>
    <xf numFmtId="0" fontId="34" fillId="4" borderId="10" xfId="0" applyFont="1" applyFill="1" applyBorder="1" applyAlignment="1" applyProtection="1">
      <alignment horizontal="center" vertical="top" wrapText="1"/>
      <protection locked="0"/>
    </xf>
    <xf numFmtId="0" fontId="34" fillId="4" borderId="5" xfId="0" applyFont="1" applyFill="1" applyBorder="1" applyAlignment="1" applyProtection="1">
      <alignment horizontal="center" vertical="top" wrapText="1"/>
      <protection locked="0"/>
    </xf>
    <xf numFmtId="0" fontId="34" fillId="4" borderId="6" xfId="0" applyFont="1" applyFill="1" applyBorder="1" applyAlignment="1" applyProtection="1">
      <alignment horizontal="center" vertical="top" wrapText="1"/>
      <protection locked="0"/>
    </xf>
    <xf numFmtId="0" fontId="35" fillId="4" borderId="10" xfId="0" applyFont="1" applyFill="1" applyBorder="1" applyAlignment="1">
      <alignment horizontal="left" vertical="top" wrapText="1"/>
    </xf>
    <xf numFmtId="0" fontId="35" fillId="4" borderId="5" xfId="0" applyFont="1" applyFill="1" applyBorder="1" applyAlignment="1">
      <alignment horizontal="left" vertical="top" wrapText="1"/>
    </xf>
    <xf numFmtId="0" fontId="35" fillId="4" borderId="6" xfId="0" applyFont="1" applyFill="1" applyBorder="1" applyAlignment="1">
      <alignment horizontal="left" vertical="top" wrapText="1"/>
    </xf>
    <xf numFmtId="0" fontId="22" fillId="4" borderId="10" xfId="0" applyFont="1" applyFill="1" applyBorder="1" applyAlignment="1">
      <alignment horizontal="left" vertical="top" wrapText="1"/>
    </xf>
    <xf numFmtId="0" fontId="22" fillId="4" borderId="5" xfId="0" applyFont="1" applyFill="1" applyBorder="1" applyAlignment="1">
      <alignment horizontal="left" vertical="top" wrapText="1"/>
    </xf>
    <xf numFmtId="0" fontId="22" fillId="4" borderId="6" xfId="0" applyFont="1" applyFill="1" applyBorder="1" applyAlignment="1">
      <alignment horizontal="left" vertical="top" wrapText="1"/>
    </xf>
    <xf numFmtId="0" fontId="22" fillId="4" borderId="5" xfId="0" applyFont="1" applyFill="1" applyBorder="1" applyAlignment="1">
      <alignment horizontal="left" vertical="top"/>
    </xf>
    <xf numFmtId="0" fontId="22" fillId="4" borderId="6" xfId="0" applyFont="1" applyFill="1" applyBorder="1" applyAlignment="1">
      <alignment horizontal="left" vertical="top"/>
    </xf>
    <xf numFmtId="0" fontId="40" fillId="4" borderId="10" xfId="0" applyFont="1" applyFill="1" applyBorder="1" applyAlignment="1">
      <alignment horizontal="center" vertical="top" wrapText="1"/>
    </xf>
    <xf numFmtId="0" fontId="40" fillId="4" borderId="5" xfId="0" applyFont="1" applyFill="1" applyBorder="1" applyAlignment="1">
      <alignment horizontal="center" vertical="top" wrapText="1"/>
    </xf>
    <xf numFmtId="0" fontId="45" fillId="4" borderId="10" xfId="0" applyFont="1" applyFill="1" applyBorder="1" applyAlignment="1">
      <alignment horizontal="left" vertical="top" wrapText="1"/>
    </xf>
    <xf numFmtId="0" fontId="45" fillId="4" borderId="5" xfId="0" applyFont="1" applyFill="1" applyBorder="1" applyAlignment="1">
      <alignment horizontal="left" vertical="top" wrapText="1"/>
    </xf>
    <xf numFmtId="0" fontId="33" fillId="4" borderId="10" xfId="0" applyFont="1" applyFill="1" applyBorder="1" applyAlignment="1">
      <alignment horizontal="left" vertical="top" wrapText="1"/>
    </xf>
    <xf numFmtId="0" fontId="33" fillId="4" borderId="5" xfId="0" applyFont="1" applyFill="1" applyBorder="1" applyAlignment="1">
      <alignment horizontal="left" vertical="top" wrapText="1"/>
    </xf>
    <xf numFmtId="0" fontId="38" fillId="4" borderId="10" xfId="0" applyFont="1" applyFill="1" applyBorder="1" applyAlignment="1">
      <alignment horizontal="left" vertical="top" wrapText="1"/>
    </xf>
    <xf numFmtId="0" fontId="38" fillId="4" borderId="5" xfId="0" applyFont="1" applyFill="1" applyBorder="1" applyAlignment="1">
      <alignment horizontal="left" vertical="top" wrapText="1"/>
    </xf>
    <xf numFmtId="0" fontId="38" fillId="4" borderId="6" xfId="0" applyFont="1" applyFill="1" applyBorder="1" applyAlignment="1">
      <alignment horizontal="left" vertical="top" wrapText="1"/>
    </xf>
    <xf numFmtId="0" fontId="40" fillId="4" borderId="6" xfId="0" applyFont="1" applyFill="1" applyBorder="1" applyAlignment="1">
      <alignment horizontal="center" vertical="top" wrapText="1"/>
    </xf>
    <xf numFmtId="0" fontId="33" fillId="4" borderId="6" xfId="0" applyFont="1" applyFill="1" applyBorder="1" applyAlignment="1">
      <alignment horizontal="left" vertical="top" wrapText="1"/>
    </xf>
    <xf numFmtId="0" fontId="33" fillId="4" borderId="10" xfId="0" applyFont="1" applyFill="1" applyBorder="1" applyAlignment="1">
      <alignment horizontal="center" vertical="top"/>
    </xf>
    <xf numFmtId="0" fontId="33" fillId="4" borderId="5" xfId="0" applyFont="1" applyFill="1" applyBorder="1" applyAlignment="1">
      <alignment horizontal="center" vertical="top"/>
    </xf>
    <xf numFmtId="0" fontId="33" fillId="4" borderId="6" xfId="0" applyFont="1" applyFill="1" applyBorder="1" applyAlignment="1">
      <alignment horizontal="center" vertical="top"/>
    </xf>
    <xf numFmtId="0" fontId="34" fillId="0" borderId="10" xfId="0" applyFont="1" applyBorder="1" applyAlignment="1" applyProtection="1">
      <alignment horizontal="center" vertical="top" wrapText="1"/>
      <protection locked="0"/>
    </xf>
    <xf numFmtId="0" fontId="34" fillId="0" borderId="5" xfId="0" applyFont="1" applyBorder="1" applyAlignment="1" applyProtection="1">
      <alignment horizontal="center" vertical="top" wrapText="1"/>
      <protection locked="0"/>
    </xf>
    <xf numFmtId="0" fontId="34" fillId="0" borderId="6" xfId="0" applyFont="1" applyBorder="1" applyAlignment="1" applyProtection="1">
      <alignment horizontal="center" vertical="top" wrapText="1"/>
      <protection locked="0"/>
    </xf>
    <xf numFmtId="0" fontId="36" fillId="4" borderId="5" xfId="0" applyFont="1" applyFill="1" applyBorder="1" applyAlignment="1">
      <alignment horizontal="left" vertical="top" wrapText="1"/>
    </xf>
    <xf numFmtId="0" fontId="36" fillId="4" borderId="6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center"/>
    </xf>
    <xf numFmtId="0" fontId="33" fillId="9" borderId="12" xfId="0" applyFont="1" applyFill="1" applyBorder="1" applyAlignment="1">
      <alignment horizontal="center"/>
    </xf>
    <xf numFmtId="0" fontId="33" fillId="9" borderId="19" xfId="0" applyFont="1" applyFill="1" applyBorder="1" applyAlignment="1">
      <alignment horizontal="center"/>
    </xf>
    <xf numFmtId="0" fontId="33" fillId="9" borderId="9" xfId="0" applyFont="1" applyFill="1" applyBorder="1" applyAlignment="1">
      <alignment horizontal="center"/>
    </xf>
    <xf numFmtId="0" fontId="33" fillId="9" borderId="10" xfId="0" applyFont="1" applyFill="1" applyBorder="1" applyAlignment="1">
      <alignment horizontal="center" vertical="center"/>
    </xf>
    <xf numFmtId="0" fontId="33" fillId="9" borderId="6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left" vertical="top" wrapText="1"/>
    </xf>
    <xf numFmtId="0" fontId="33" fillId="8" borderId="10" xfId="0" applyFont="1" applyFill="1" applyBorder="1" applyAlignment="1">
      <alignment horizontal="center" vertical="top" wrapText="1"/>
    </xf>
    <xf numFmtId="0" fontId="33" fillId="8" borderId="5" xfId="0" applyFont="1" applyFill="1" applyBorder="1" applyAlignment="1">
      <alignment horizontal="center" vertical="top" wrapText="1"/>
    </xf>
    <xf numFmtId="0" fontId="33" fillId="8" borderId="6" xfId="0" applyFont="1" applyFill="1" applyBorder="1" applyAlignment="1">
      <alignment horizontal="center" vertical="top" wrapText="1"/>
    </xf>
    <xf numFmtId="0" fontId="52" fillId="4" borderId="12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19" xfId="0" applyFont="1" applyFill="1" applyBorder="1" applyAlignment="1">
      <alignment horizontal="center"/>
    </xf>
    <xf numFmtId="0" fontId="54" fillId="4" borderId="12" xfId="0" applyFont="1" applyFill="1" applyBorder="1" applyAlignment="1">
      <alignment horizontal="left" vertical="center" wrapText="1"/>
    </xf>
    <xf numFmtId="0" fontId="54" fillId="4" borderId="9" xfId="0" applyFont="1" applyFill="1" applyBorder="1" applyAlignment="1">
      <alignment horizontal="left" vertical="center" wrapText="1"/>
    </xf>
    <xf numFmtId="0" fontId="54" fillId="4" borderId="19" xfId="0" applyFont="1" applyFill="1" applyBorder="1" applyAlignment="1">
      <alignment horizontal="left" vertical="center" wrapText="1"/>
    </xf>
    <xf numFmtId="0" fontId="53" fillId="4" borderId="12" xfId="0" applyFont="1" applyFill="1" applyBorder="1" applyAlignment="1">
      <alignment horizontal="center" vertical="top"/>
    </xf>
    <xf numFmtId="0" fontId="53" fillId="4" borderId="9" xfId="0" applyFont="1" applyFill="1" applyBorder="1" applyAlignment="1">
      <alignment horizontal="center" vertical="top"/>
    </xf>
    <xf numFmtId="0" fontId="53" fillId="4" borderId="19" xfId="0" applyFont="1" applyFill="1" applyBorder="1" applyAlignment="1">
      <alignment horizontal="center" vertical="top"/>
    </xf>
    <xf numFmtId="0" fontId="23" fillId="4" borderId="12" xfId="0" applyFont="1" applyFill="1" applyBorder="1" applyAlignment="1">
      <alignment horizontal="left" vertical="top" wrapText="1"/>
    </xf>
    <xf numFmtId="0" fontId="23" fillId="4" borderId="9" xfId="0" applyFont="1" applyFill="1" applyBorder="1" applyAlignment="1">
      <alignment horizontal="left" vertical="top" wrapText="1"/>
    </xf>
    <xf numFmtId="0" fontId="23" fillId="4" borderId="19" xfId="0" applyFont="1" applyFill="1" applyBorder="1" applyAlignment="1">
      <alignment horizontal="left" vertical="top" wrapText="1"/>
    </xf>
    <xf numFmtId="0" fontId="23" fillId="4" borderId="14" xfId="0" applyFont="1" applyFill="1" applyBorder="1" applyAlignment="1">
      <alignment horizontal="left" vertical="top" wrapText="1"/>
    </xf>
    <xf numFmtId="0" fontId="23" fillId="4" borderId="11" xfId="0" applyFont="1" applyFill="1" applyBorder="1" applyAlignment="1">
      <alignment horizontal="left" vertical="top" wrapText="1"/>
    </xf>
    <xf numFmtId="0" fontId="23" fillId="4" borderId="18" xfId="0" applyFont="1" applyFill="1" applyBorder="1" applyAlignment="1">
      <alignment horizontal="left" vertical="top" wrapText="1"/>
    </xf>
    <xf numFmtId="0" fontId="23" fillId="4" borderId="13" xfId="0" applyFont="1" applyFill="1" applyBorder="1" applyAlignment="1">
      <alignment horizontal="left" vertical="top" wrapText="1"/>
    </xf>
    <xf numFmtId="0" fontId="23" fillId="4" borderId="0" xfId="0" applyFont="1" applyFill="1" applyAlignment="1">
      <alignment horizontal="left" vertical="top" wrapText="1"/>
    </xf>
    <xf numFmtId="0" fontId="23" fillId="4" borderId="20" xfId="0" applyFont="1" applyFill="1" applyBorder="1" applyAlignment="1">
      <alignment horizontal="left" vertical="top" wrapText="1"/>
    </xf>
    <xf numFmtId="0" fontId="23" fillId="4" borderId="16" xfId="0" applyFont="1" applyFill="1" applyBorder="1" applyAlignment="1">
      <alignment horizontal="left" vertical="top" wrapText="1"/>
    </xf>
    <xf numFmtId="0" fontId="23" fillId="4" borderId="17" xfId="0" applyFont="1" applyFill="1" applyBorder="1" applyAlignment="1">
      <alignment horizontal="left" vertical="top" wrapText="1"/>
    </xf>
    <xf numFmtId="0" fontId="23" fillId="4" borderId="15" xfId="0" applyFont="1" applyFill="1" applyBorder="1" applyAlignment="1">
      <alignment horizontal="left" vertical="top" wrapText="1"/>
    </xf>
    <xf numFmtId="0" fontId="47" fillId="4" borderId="14" xfId="0" applyFont="1" applyFill="1" applyBorder="1" applyAlignment="1">
      <alignment horizontal="left" vertical="top" wrapText="1"/>
    </xf>
    <xf numFmtId="0" fontId="47" fillId="4" borderId="11" xfId="0" applyFont="1" applyFill="1" applyBorder="1" applyAlignment="1">
      <alignment horizontal="left" vertical="top" wrapText="1"/>
    </xf>
    <xf numFmtId="0" fontId="47" fillId="4" borderId="18" xfId="0" applyFont="1" applyFill="1" applyBorder="1" applyAlignment="1">
      <alignment horizontal="left" vertical="top" wrapText="1"/>
    </xf>
    <xf numFmtId="0" fontId="47" fillId="4" borderId="13" xfId="0" applyFont="1" applyFill="1" applyBorder="1" applyAlignment="1">
      <alignment horizontal="left" vertical="top" wrapText="1"/>
    </xf>
    <xf numFmtId="0" fontId="47" fillId="4" borderId="0" xfId="0" applyFont="1" applyFill="1" applyAlignment="1">
      <alignment horizontal="left" vertical="top" wrapText="1"/>
    </xf>
    <xf numFmtId="0" fontId="47" fillId="4" borderId="20" xfId="0" applyFont="1" applyFill="1" applyBorder="1" applyAlignment="1">
      <alignment horizontal="left" vertical="top" wrapText="1"/>
    </xf>
    <xf numFmtId="0" fontId="47" fillId="4" borderId="16" xfId="0" applyFont="1" applyFill="1" applyBorder="1" applyAlignment="1">
      <alignment horizontal="left" vertical="top" wrapText="1"/>
    </xf>
    <xf numFmtId="0" fontId="47" fillId="4" borderId="17" xfId="0" applyFont="1" applyFill="1" applyBorder="1" applyAlignment="1">
      <alignment horizontal="left" vertical="top" wrapText="1"/>
    </xf>
    <xf numFmtId="0" fontId="47" fillId="4" borderId="15" xfId="0" applyFont="1" applyFill="1" applyBorder="1" applyAlignment="1">
      <alignment horizontal="left" vertical="top" wrapText="1"/>
    </xf>
    <xf numFmtId="0" fontId="3" fillId="8" borderId="12" xfId="0" applyFont="1" applyFill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top" wrapText="1"/>
    </xf>
    <xf numFmtId="0" fontId="3" fillId="8" borderId="19" xfId="0" applyFont="1" applyFill="1" applyBorder="1" applyAlignment="1">
      <alignment horizontal="center" vertical="top" wrapText="1"/>
    </xf>
    <xf numFmtId="0" fontId="53" fillId="8" borderId="12" xfId="0" applyFont="1" applyFill="1" applyBorder="1" applyAlignment="1">
      <alignment horizontal="center" vertical="top" wrapText="1"/>
    </xf>
    <xf numFmtId="0" fontId="53" fillId="8" borderId="9" xfId="0" applyFont="1" applyFill="1" applyBorder="1" applyAlignment="1">
      <alignment horizontal="center" vertical="top" wrapText="1"/>
    </xf>
    <xf numFmtId="0" fontId="53" fillId="8" borderId="19" xfId="0" applyFont="1" applyFill="1" applyBorder="1" applyAlignment="1">
      <alignment horizontal="center" vertical="top" wrapText="1"/>
    </xf>
    <xf numFmtId="0" fontId="54" fillId="4" borderId="12" xfId="0" applyFont="1" applyFill="1" applyBorder="1" applyAlignment="1">
      <alignment horizontal="left" vertical="top" wrapText="1"/>
    </xf>
    <xf numFmtId="0" fontId="54" fillId="4" borderId="9" xfId="0" applyFont="1" applyFill="1" applyBorder="1" applyAlignment="1">
      <alignment horizontal="left" vertical="top" wrapText="1"/>
    </xf>
    <xf numFmtId="0" fontId="54" fillId="4" borderId="19" xfId="0" applyFont="1" applyFill="1" applyBorder="1" applyAlignment="1">
      <alignment horizontal="left" vertical="top" wrapText="1"/>
    </xf>
    <xf numFmtId="0" fontId="53" fillId="4" borderId="12" xfId="0" applyFont="1" applyFill="1" applyBorder="1" applyAlignment="1">
      <alignment horizontal="center" vertical="top" wrapText="1"/>
    </xf>
    <xf numFmtId="0" fontId="53" fillId="4" borderId="9" xfId="0" applyFont="1" applyFill="1" applyBorder="1" applyAlignment="1">
      <alignment horizontal="center" vertical="top" wrapText="1"/>
    </xf>
    <xf numFmtId="0" fontId="53" fillId="4" borderId="19" xfId="0" applyFont="1" applyFill="1" applyBorder="1" applyAlignment="1">
      <alignment horizontal="center" vertical="top" wrapText="1"/>
    </xf>
    <xf numFmtId="0" fontId="47" fillId="4" borderId="12" xfId="0" applyFont="1" applyFill="1" applyBorder="1" applyAlignment="1">
      <alignment horizontal="left" vertical="top" wrapText="1"/>
    </xf>
    <xf numFmtId="0" fontId="47" fillId="4" borderId="9" xfId="0" applyFont="1" applyFill="1" applyBorder="1" applyAlignment="1">
      <alignment horizontal="left" vertical="top" wrapText="1"/>
    </xf>
    <xf numFmtId="0" fontId="47" fillId="4" borderId="19" xfId="0" applyFont="1" applyFill="1" applyBorder="1" applyAlignment="1">
      <alignment horizontal="left" vertical="top" wrapText="1"/>
    </xf>
    <xf numFmtId="0" fontId="3" fillId="8" borderId="16" xfId="0" applyFont="1" applyFill="1" applyBorder="1" applyAlignment="1">
      <alignment horizontal="center" vertical="top" wrapText="1"/>
    </xf>
    <xf numFmtId="0" fontId="3" fillId="8" borderId="17" xfId="0" applyFont="1" applyFill="1" applyBorder="1" applyAlignment="1">
      <alignment horizontal="center" vertical="top" wrapText="1"/>
    </xf>
    <xf numFmtId="0" fontId="3" fillId="8" borderId="15" xfId="0" applyFont="1" applyFill="1" applyBorder="1" applyAlignment="1">
      <alignment horizontal="center" vertical="top" wrapText="1"/>
    </xf>
    <xf numFmtId="0" fontId="53" fillId="8" borderId="16" xfId="0" applyFont="1" applyFill="1" applyBorder="1" applyAlignment="1">
      <alignment horizontal="center" vertical="top" wrapText="1"/>
    </xf>
    <xf numFmtId="0" fontId="53" fillId="8" borderId="17" xfId="0" applyFont="1" applyFill="1" applyBorder="1" applyAlignment="1">
      <alignment horizontal="center" vertical="top" wrapText="1"/>
    </xf>
    <xf numFmtId="0" fontId="53" fillId="8" borderId="15" xfId="0" applyFont="1" applyFill="1" applyBorder="1" applyAlignment="1">
      <alignment horizontal="center" vertical="top" wrapText="1"/>
    </xf>
    <xf numFmtId="0" fontId="53" fillId="4" borderId="12" xfId="0" applyFont="1" applyFill="1" applyBorder="1" applyAlignment="1">
      <alignment horizontal="left" vertical="top"/>
    </xf>
    <xf numFmtId="0" fontId="53" fillId="4" borderId="9" xfId="0" applyFont="1" applyFill="1" applyBorder="1" applyAlignment="1">
      <alignment horizontal="left" vertical="top"/>
    </xf>
    <xf numFmtId="0" fontId="53" fillId="4" borderId="19" xfId="0" applyFont="1" applyFill="1" applyBorder="1" applyAlignment="1">
      <alignment horizontal="left" vertical="top"/>
    </xf>
    <xf numFmtId="0" fontId="6" fillId="8" borderId="12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9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53" fillId="8" borderId="1" xfId="0" applyFont="1" applyFill="1" applyBorder="1" applyAlignment="1">
      <alignment horizontal="center" vertical="top"/>
    </xf>
    <xf numFmtId="0" fontId="53" fillId="4" borderId="1" xfId="0" applyFont="1" applyFill="1" applyBorder="1" applyAlignment="1">
      <alignment horizontal="center" vertical="top" wrapText="1"/>
    </xf>
    <xf numFmtId="187" fontId="23" fillId="4" borderId="32" xfId="0" applyNumberFormat="1" applyFont="1" applyFill="1" applyBorder="1" applyAlignment="1">
      <alignment horizontal="center" vertical="center"/>
    </xf>
    <xf numFmtId="187" fontId="23" fillId="4" borderId="0" xfId="0" applyNumberFormat="1" applyFont="1" applyFill="1" applyAlignment="1">
      <alignment horizontal="center" vertical="center"/>
    </xf>
    <xf numFmtId="187" fontId="21" fillId="4" borderId="0" xfId="0" applyNumberFormat="1" applyFont="1" applyFill="1" applyAlignment="1">
      <alignment horizontal="center" vertical="center"/>
    </xf>
    <xf numFmtId="187" fontId="23" fillId="4" borderId="17" xfId="0" applyNumberFormat="1" applyFont="1" applyFill="1" applyBorder="1" applyAlignment="1">
      <alignment horizontal="right" vertical="center"/>
    </xf>
    <xf numFmtId="0" fontId="21" fillId="10" borderId="12" xfId="0" applyFont="1" applyFill="1" applyBorder="1" applyAlignment="1">
      <alignment horizontal="center" vertical="top"/>
    </xf>
    <xf numFmtId="0" fontId="21" fillId="10" borderId="9" xfId="0" applyFont="1" applyFill="1" applyBorder="1" applyAlignment="1">
      <alignment horizontal="center" vertical="top"/>
    </xf>
    <xf numFmtId="0" fontId="21" fillId="10" borderId="19" xfId="0" applyFont="1" applyFill="1" applyBorder="1" applyAlignment="1">
      <alignment horizontal="center" vertical="top"/>
    </xf>
    <xf numFmtId="0" fontId="51" fillId="10" borderId="12" xfId="0" applyFont="1" applyFill="1" applyBorder="1" applyAlignment="1">
      <alignment horizontal="center" vertical="top"/>
    </xf>
    <xf numFmtId="0" fontId="51" fillId="10" borderId="9" xfId="0" applyFont="1" applyFill="1" applyBorder="1" applyAlignment="1">
      <alignment horizontal="center" vertical="top"/>
    </xf>
    <xf numFmtId="0" fontId="51" fillId="10" borderId="19" xfId="0" applyFont="1" applyFill="1" applyBorder="1" applyAlignment="1">
      <alignment horizontal="center" vertical="top"/>
    </xf>
    <xf numFmtId="0" fontId="6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wrapText="1"/>
    </xf>
    <xf numFmtId="0" fontId="21" fillId="4" borderId="0" xfId="0" applyFont="1" applyFill="1" applyAlignment="1" applyProtection="1">
      <alignment horizontal="left" wrapText="1"/>
      <protection hidden="1"/>
    </xf>
    <xf numFmtId="0" fontId="21" fillId="4" borderId="0" xfId="0" applyFont="1" applyFill="1" applyAlignment="1" applyProtection="1">
      <alignment horizontal="left"/>
      <protection hidden="1"/>
    </xf>
    <xf numFmtId="0" fontId="21" fillId="4" borderId="0" xfId="0" applyFont="1" applyFill="1" applyAlignment="1">
      <alignment horizontal="left" vertical="top" wrapText="1"/>
    </xf>
    <xf numFmtId="187" fontId="21" fillId="4" borderId="31" xfId="0" applyNumberFormat="1" applyFont="1" applyFill="1" applyBorder="1" applyAlignment="1">
      <alignment horizontal="center" vertical="center"/>
    </xf>
    <xf numFmtId="49" fontId="44" fillId="4" borderId="10" xfId="0" applyNumberFormat="1" applyFont="1" applyFill="1" applyBorder="1" applyAlignment="1">
      <alignment vertical="top" wrapText="1"/>
    </xf>
    <xf numFmtId="49" fontId="44" fillId="4" borderId="5" xfId="0" applyNumberFormat="1" applyFont="1" applyFill="1" applyBorder="1" applyAlignment="1">
      <alignment vertical="top" wrapText="1"/>
    </xf>
    <xf numFmtId="49" fontId="44" fillId="4" borderId="6" xfId="0" applyNumberFormat="1" applyFont="1" applyFill="1" applyBorder="1" applyAlignment="1">
      <alignment vertical="top" wrapText="1"/>
    </xf>
    <xf numFmtId="0" fontId="22" fillId="8" borderId="10" xfId="0" applyFont="1" applyFill="1" applyBorder="1" applyAlignment="1">
      <alignment horizontal="center" vertical="top" wrapText="1"/>
    </xf>
    <xf numFmtId="0" fontId="22" fillId="8" borderId="5" xfId="0" applyFont="1" applyFill="1" applyBorder="1" applyAlignment="1">
      <alignment horizontal="center" vertical="top" wrapText="1"/>
    </xf>
    <xf numFmtId="0" fontId="22" fillId="8" borderId="6" xfId="0" applyFont="1" applyFill="1" applyBorder="1" applyAlignment="1">
      <alignment horizontal="center" vertical="top" wrapText="1"/>
    </xf>
    <xf numFmtId="49" fontId="22" fillId="4" borderId="10" xfId="0" applyNumberFormat="1" applyFont="1" applyFill="1" applyBorder="1" applyAlignment="1">
      <alignment vertical="top" wrapText="1"/>
    </xf>
    <xf numFmtId="49" fontId="22" fillId="4" borderId="5" xfId="0" applyNumberFormat="1" applyFont="1" applyFill="1" applyBorder="1" applyAlignment="1">
      <alignment vertical="top" wrapText="1"/>
    </xf>
    <xf numFmtId="49" fontId="22" fillId="4" borderId="6" xfId="0" applyNumberFormat="1" applyFont="1" applyFill="1" applyBorder="1" applyAlignment="1">
      <alignment vertical="top" wrapText="1"/>
    </xf>
    <xf numFmtId="0" fontId="22" fillId="4" borderId="4" xfId="0" applyFont="1" applyFill="1" applyBorder="1" applyAlignment="1">
      <alignment horizontal="center" vertical="top" wrapText="1"/>
    </xf>
    <xf numFmtId="0" fontId="22" fillId="4" borderId="5" xfId="0" applyFont="1" applyFill="1" applyBorder="1" applyAlignment="1">
      <alignment horizontal="center" vertical="top" wrapText="1"/>
    </xf>
    <xf numFmtId="49" fontId="22" fillId="4" borderId="5" xfId="0" applyNumberFormat="1" applyFont="1" applyFill="1" applyBorder="1" applyAlignment="1">
      <alignment vertical="top"/>
    </xf>
    <xf numFmtId="49" fontId="22" fillId="4" borderId="6" xfId="0" applyNumberFormat="1" applyFont="1" applyFill="1" applyBorder="1" applyAlignment="1">
      <alignment vertical="top"/>
    </xf>
    <xf numFmtId="49" fontId="22" fillId="4" borderId="18" xfId="0" applyNumberFormat="1" applyFont="1" applyFill="1" applyBorder="1" applyAlignment="1">
      <alignment vertical="top" wrapText="1"/>
    </xf>
    <xf numFmtId="49" fontId="22" fillId="4" borderId="20" xfId="0" applyNumberFormat="1" applyFont="1" applyFill="1" applyBorder="1" applyAlignment="1">
      <alignment vertical="top" wrapText="1"/>
    </xf>
    <xf numFmtId="49" fontId="22" fillId="4" borderId="15" xfId="0" applyNumberFormat="1" applyFont="1" applyFill="1" applyBorder="1" applyAlignment="1">
      <alignment vertical="top" wrapText="1"/>
    </xf>
    <xf numFmtId="0" fontId="33" fillId="9" borderId="10" xfId="0" applyFont="1" applyFill="1" applyBorder="1" applyAlignment="1">
      <alignment horizontal="center" vertical="top" wrapText="1"/>
    </xf>
    <xf numFmtId="0" fontId="33" fillId="9" borderId="5" xfId="0" applyFont="1" applyFill="1" applyBorder="1" applyAlignment="1">
      <alignment horizontal="center" vertical="top" wrapText="1"/>
    </xf>
    <xf numFmtId="0" fontId="33" fillId="9" borderId="14" xfId="0" applyFont="1" applyFill="1" applyBorder="1" applyAlignment="1">
      <alignment horizontal="center" vertical="top" wrapText="1"/>
    </xf>
    <xf numFmtId="0" fontId="33" fillId="9" borderId="13" xfId="0" applyFont="1" applyFill="1" applyBorder="1" applyAlignment="1">
      <alignment horizontal="center" vertical="top" wrapText="1"/>
    </xf>
    <xf numFmtId="0" fontId="37" fillId="9" borderId="10" xfId="0" applyFont="1" applyFill="1" applyBorder="1" applyAlignment="1">
      <alignment horizontal="center" vertical="top" wrapText="1"/>
    </xf>
    <xf numFmtId="0" fontId="37" fillId="9" borderId="5" xfId="0" applyFont="1" applyFill="1" applyBorder="1" applyAlignment="1">
      <alignment horizontal="center" vertical="top" wrapText="1"/>
    </xf>
    <xf numFmtId="49" fontId="33" fillId="9" borderId="10" xfId="0" applyNumberFormat="1" applyFont="1" applyFill="1" applyBorder="1" applyAlignment="1">
      <alignment horizontal="center" vertical="top" wrapText="1"/>
    </xf>
    <xf numFmtId="49" fontId="33" fillId="9" borderId="6" xfId="0" applyNumberFormat="1" applyFont="1" applyFill="1" applyBorder="1" applyAlignment="1">
      <alignment horizontal="center" vertical="top" wrapText="1"/>
    </xf>
    <xf numFmtId="187" fontId="3" fillId="0" borderId="35" xfId="0" applyNumberFormat="1" applyFont="1" applyBorder="1" applyAlignment="1">
      <alignment horizontal="center" vertical="center"/>
    </xf>
    <xf numFmtId="187" fontId="3" fillId="0" borderId="30" xfId="0" applyNumberFormat="1" applyFont="1" applyBorder="1" applyAlignment="1">
      <alignment horizontal="center" vertical="center"/>
    </xf>
    <xf numFmtId="187" fontId="3" fillId="0" borderId="26" xfId="0" applyNumberFormat="1" applyFont="1" applyBorder="1" applyAlignment="1">
      <alignment horizontal="center" vertical="center"/>
    </xf>
    <xf numFmtId="187" fontId="3" fillId="0" borderId="36" xfId="0" applyNumberFormat="1" applyFont="1" applyBorder="1" applyAlignment="1">
      <alignment horizontal="center" vertical="center"/>
    </xf>
    <xf numFmtId="187" fontId="3" fillId="0" borderId="37" xfId="0" applyNumberFormat="1" applyFont="1" applyBorder="1" applyAlignment="1">
      <alignment horizontal="center" vertical="center"/>
    </xf>
    <xf numFmtId="187" fontId="3" fillId="0" borderId="27" xfId="0" applyNumberFormat="1" applyFont="1" applyBorder="1" applyAlignment="1">
      <alignment horizontal="center" vertical="center"/>
    </xf>
    <xf numFmtId="187" fontId="6" fillId="0" borderId="11" xfId="0" applyNumberFormat="1" applyFont="1" applyBorder="1" applyAlignment="1">
      <alignment horizontal="right" vertical="center"/>
    </xf>
    <xf numFmtId="187" fontId="6" fillId="0" borderId="18" xfId="0" applyNumberFormat="1" applyFont="1" applyBorder="1" applyAlignment="1">
      <alignment horizontal="right" vertical="center"/>
    </xf>
    <xf numFmtId="187" fontId="6" fillId="11" borderId="24" xfId="0" applyNumberFormat="1" applyFont="1" applyFill="1" applyBorder="1" applyAlignment="1">
      <alignment horizontal="center" vertical="center"/>
    </xf>
    <xf numFmtId="187" fontId="6" fillId="11" borderId="23" xfId="0" applyNumberFormat="1" applyFont="1" applyFill="1" applyBorder="1" applyAlignment="1">
      <alignment horizontal="center" vertical="center"/>
    </xf>
    <xf numFmtId="187" fontId="6" fillId="11" borderId="10" xfId="0" applyNumberFormat="1" applyFont="1" applyFill="1" applyBorder="1" applyAlignment="1">
      <alignment horizontal="center" vertical="center" wrapText="1"/>
    </xf>
    <xf numFmtId="187" fontId="6" fillId="11" borderId="6" xfId="0" applyNumberFormat="1" applyFont="1" applyFill="1" applyBorder="1" applyAlignment="1">
      <alignment horizontal="center" vertical="center" wrapText="1"/>
    </xf>
    <xf numFmtId="187" fontId="3" fillId="0" borderId="33" xfId="0" applyNumberFormat="1" applyFont="1" applyBorder="1" applyAlignment="1">
      <alignment horizontal="center" vertical="center"/>
    </xf>
    <xf numFmtId="187" fontId="3" fillId="0" borderId="34" xfId="0" applyNumberFormat="1" applyFont="1" applyBorder="1" applyAlignment="1">
      <alignment horizontal="center" vertical="center"/>
    </xf>
    <xf numFmtId="187" fontId="3" fillId="0" borderId="29" xfId="0" applyNumberFormat="1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187" fontId="6" fillId="0" borderId="0" xfId="0" applyNumberFormat="1" applyFont="1" applyAlignment="1">
      <alignment horizontal="right" wrapText="1"/>
    </xf>
    <xf numFmtId="187" fontId="6" fillId="11" borderId="12" xfId="0" applyNumberFormat="1" applyFont="1" applyFill="1" applyBorder="1" applyAlignment="1">
      <alignment horizontal="center" vertical="center" wrapText="1"/>
    </xf>
    <xf numFmtId="187" fontId="6" fillId="11" borderId="19" xfId="0" applyNumberFormat="1" applyFont="1" applyFill="1" applyBorder="1" applyAlignment="1">
      <alignment horizontal="center" vertical="center" wrapText="1"/>
    </xf>
    <xf numFmtId="187" fontId="6" fillId="11" borderId="14" xfId="0" applyNumberFormat="1" applyFont="1" applyFill="1" applyBorder="1" applyAlignment="1">
      <alignment horizontal="center" vertical="center" wrapText="1"/>
    </xf>
    <xf numFmtId="187" fontId="6" fillId="11" borderId="18" xfId="0" applyNumberFormat="1" applyFont="1" applyFill="1" applyBorder="1" applyAlignment="1">
      <alignment horizontal="center" vertical="center" wrapText="1"/>
    </xf>
    <xf numFmtId="187" fontId="6" fillId="11" borderId="16" xfId="0" applyNumberFormat="1" applyFont="1" applyFill="1" applyBorder="1" applyAlignment="1">
      <alignment horizontal="center" vertical="center" wrapText="1"/>
    </xf>
    <xf numFmtId="187" fontId="6" fillId="11" borderId="15" xfId="0" applyNumberFormat="1" applyFont="1" applyFill="1" applyBorder="1" applyAlignment="1">
      <alignment horizontal="center" vertical="center" wrapText="1"/>
    </xf>
    <xf numFmtId="187" fontId="6" fillId="11" borderId="11" xfId="0" applyNumberFormat="1" applyFont="1" applyFill="1" applyBorder="1" applyAlignment="1">
      <alignment horizontal="center" vertical="center" wrapText="1"/>
    </xf>
    <xf numFmtId="187" fontId="6" fillId="11" borderId="17" xfId="0" applyNumberFormat="1" applyFont="1" applyFill="1" applyBorder="1" applyAlignment="1">
      <alignment horizontal="center" vertical="center" wrapText="1"/>
    </xf>
    <xf numFmtId="0" fontId="86" fillId="0" borderId="10" xfId="0" applyFont="1" applyBorder="1" applyAlignment="1">
      <alignment horizontal="center" vertical="center" wrapText="1"/>
    </xf>
    <xf numFmtId="0" fontId="86" fillId="0" borderId="5" xfId="0" applyFont="1" applyBorder="1" applyAlignment="1">
      <alignment horizontal="center" vertical="center" wrapText="1"/>
    </xf>
    <xf numFmtId="0" fontId="86" fillId="0" borderId="6" xfId="0" applyFont="1" applyBorder="1" applyAlignment="1">
      <alignment horizontal="center" vertical="center"/>
    </xf>
    <xf numFmtId="0" fontId="86" fillId="0" borderId="10" xfId="0" applyFont="1" applyBorder="1" applyAlignment="1">
      <alignment horizontal="center" vertical="center"/>
    </xf>
    <xf numFmtId="0" fontId="86" fillId="0" borderId="5" xfId="0" applyFont="1" applyBorder="1" applyAlignment="1">
      <alignment horizontal="center" vertical="center"/>
    </xf>
    <xf numFmtId="0" fontId="86" fillId="0" borderId="6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top" wrapText="1"/>
    </xf>
    <xf numFmtId="0" fontId="86" fillId="0" borderId="18" xfId="0" applyFont="1" applyBorder="1" applyAlignment="1">
      <alignment horizontal="center" vertical="top"/>
    </xf>
    <xf numFmtId="0" fontId="86" fillId="0" borderId="14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86" fillId="0" borderId="13" xfId="0" applyFont="1" applyBorder="1" applyAlignment="1">
      <alignment horizontal="center"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16" xfId="0" applyFont="1" applyBorder="1" applyAlignment="1">
      <alignment horizontal="center" vertical="center" wrapText="1"/>
    </xf>
    <xf numFmtId="0" fontId="86" fillId="0" borderId="15" xfId="0" applyFont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86" fillId="0" borderId="12" xfId="0" applyFont="1" applyBorder="1" applyAlignment="1">
      <alignment horizontal="center"/>
    </xf>
    <xf numFmtId="0" fontId="86" fillId="0" borderId="19" xfId="0" applyFont="1" applyBorder="1" applyAlignment="1">
      <alignment horizontal="center"/>
    </xf>
    <xf numFmtId="0" fontId="86" fillId="0" borderId="9" xfId="0" applyFont="1" applyBorder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</cellXfs>
  <cellStyles count="74">
    <cellStyle name="20% - Accent1" xfId="24" xr:uid="{00000000-0005-0000-0000-000000000000}"/>
    <cellStyle name="20% - Accent2" xfId="25" xr:uid="{00000000-0005-0000-0000-000001000000}"/>
    <cellStyle name="20% - Accent3" xfId="26" xr:uid="{00000000-0005-0000-0000-000002000000}"/>
    <cellStyle name="20% - Accent4" xfId="27" xr:uid="{00000000-0005-0000-0000-000003000000}"/>
    <cellStyle name="20% - Accent5" xfId="28" xr:uid="{00000000-0005-0000-0000-000004000000}"/>
    <cellStyle name="20% - Accent6" xfId="29" xr:uid="{00000000-0005-0000-0000-000005000000}"/>
    <cellStyle name="40% - Accent1" xfId="30" xr:uid="{00000000-0005-0000-0000-000006000000}"/>
    <cellStyle name="40% - Accent2" xfId="31" xr:uid="{00000000-0005-0000-0000-000007000000}"/>
    <cellStyle name="40% - Accent3" xfId="32" xr:uid="{00000000-0005-0000-0000-000008000000}"/>
    <cellStyle name="40% - Accent4" xfId="33" xr:uid="{00000000-0005-0000-0000-000009000000}"/>
    <cellStyle name="40% - Accent5" xfId="34" xr:uid="{00000000-0005-0000-0000-00000A000000}"/>
    <cellStyle name="40% - Accent6" xfId="35" xr:uid="{00000000-0005-0000-0000-00000B000000}"/>
    <cellStyle name="60% - Accent1" xfId="36" xr:uid="{00000000-0005-0000-0000-00000C000000}"/>
    <cellStyle name="60% - Accent2" xfId="37" xr:uid="{00000000-0005-0000-0000-00000D000000}"/>
    <cellStyle name="60% - Accent3" xfId="38" xr:uid="{00000000-0005-0000-0000-00000E000000}"/>
    <cellStyle name="60% - Accent4" xfId="39" xr:uid="{00000000-0005-0000-0000-00000F000000}"/>
    <cellStyle name="60% - Accent5" xfId="40" xr:uid="{00000000-0005-0000-0000-000010000000}"/>
    <cellStyle name="60% - Accent6" xfId="41" xr:uid="{00000000-0005-0000-0000-000011000000}"/>
    <cellStyle name="75" xfId="42" xr:uid="{00000000-0005-0000-0000-000012000000}"/>
    <cellStyle name="Accent1" xfId="43" xr:uid="{00000000-0005-0000-0000-000013000000}"/>
    <cellStyle name="Accent2" xfId="44" xr:uid="{00000000-0005-0000-0000-000014000000}"/>
    <cellStyle name="Accent3" xfId="45" xr:uid="{00000000-0005-0000-0000-000015000000}"/>
    <cellStyle name="Accent4" xfId="46" xr:uid="{00000000-0005-0000-0000-000016000000}"/>
    <cellStyle name="Accent5" xfId="47" xr:uid="{00000000-0005-0000-0000-000017000000}"/>
    <cellStyle name="Accent6" xfId="48" xr:uid="{00000000-0005-0000-0000-000018000000}"/>
    <cellStyle name="Bad" xfId="49" xr:uid="{00000000-0005-0000-0000-000019000000}"/>
    <cellStyle name="Calculation" xfId="50" xr:uid="{00000000-0005-0000-0000-00001A000000}"/>
    <cellStyle name="Check Cell" xfId="51" xr:uid="{00000000-0005-0000-0000-00001B000000}"/>
    <cellStyle name="Comma 2" xfId="1" xr:uid="{00000000-0005-0000-0000-00001D000000}"/>
    <cellStyle name="Comma 2 2" xfId="2" xr:uid="{00000000-0005-0000-0000-00001E000000}"/>
    <cellStyle name="Comma 3" xfId="3" xr:uid="{00000000-0005-0000-0000-00001F000000}"/>
    <cellStyle name="Comma 4" xfId="4" xr:uid="{00000000-0005-0000-0000-000020000000}"/>
    <cellStyle name="Comma 5" xfId="5" xr:uid="{00000000-0005-0000-0000-000021000000}"/>
    <cellStyle name="Comma 5 2" xfId="6" xr:uid="{00000000-0005-0000-0000-000022000000}"/>
    <cellStyle name="Comma 6" xfId="7" xr:uid="{00000000-0005-0000-0000-000023000000}"/>
    <cellStyle name="Comma 7" xfId="8" xr:uid="{00000000-0005-0000-0000-000024000000}"/>
    <cellStyle name="Explanatory Text" xfId="52" xr:uid="{00000000-0005-0000-0000-000025000000}"/>
    <cellStyle name="Good" xfId="53" xr:uid="{00000000-0005-0000-0000-000026000000}"/>
    <cellStyle name="Header1" xfId="54" xr:uid="{00000000-0005-0000-0000-000027000000}"/>
    <cellStyle name="Header2" xfId="55" xr:uid="{00000000-0005-0000-0000-000028000000}"/>
    <cellStyle name="Heading 1" xfId="56" xr:uid="{00000000-0005-0000-0000-000029000000}"/>
    <cellStyle name="Heading 2" xfId="57" xr:uid="{00000000-0005-0000-0000-00002A000000}"/>
    <cellStyle name="Heading 3" xfId="58" xr:uid="{00000000-0005-0000-0000-00002B000000}"/>
    <cellStyle name="Heading 4" xfId="59" xr:uid="{00000000-0005-0000-0000-00002C000000}"/>
    <cellStyle name="Input" xfId="60" xr:uid="{00000000-0005-0000-0000-00002E000000}"/>
    <cellStyle name="Linked Cell" xfId="61" xr:uid="{00000000-0005-0000-0000-00002F000000}"/>
    <cellStyle name="Neutral" xfId="62" xr:uid="{00000000-0005-0000-0000-000030000000}"/>
    <cellStyle name="Normal" xfId="0" builtinId="0"/>
    <cellStyle name="Normal 2" xfId="9" xr:uid="{00000000-0005-0000-0000-000032000000}"/>
    <cellStyle name="Normal 2 2" xfId="10" xr:uid="{00000000-0005-0000-0000-000033000000}"/>
    <cellStyle name="Normal 2 3" xfId="11" xr:uid="{00000000-0005-0000-0000-000034000000}"/>
    <cellStyle name="Normal 2_550315รายงาน-การปรับแผนและวงเงินค่าใช้จ่ายไปต่างประเทศปี56_15Mar2012-2003" xfId="12" xr:uid="{00000000-0005-0000-0000-000035000000}"/>
    <cellStyle name="Normal 3" xfId="13" xr:uid="{00000000-0005-0000-0000-000036000000}"/>
    <cellStyle name="Normal 4" xfId="14" xr:uid="{00000000-0005-0000-0000-000037000000}"/>
    <cellStyle name="Normal 5" xfId="15" xr:uid="{00000000-0005-0000-0000-000038000000}"/>
    <cellStyle name="Normal 5 2" xfId="16" xr:uid="{00000000-0005-0000-0000-000039000000}"/>
    <cellStyle name="Normal 6" xfId="17" xr:uid="{00000000-0005-0000-0000-00003A000000}"/>
    <cellStyle name="Normal 7" xfId="18" xr:uid="{00000000-0005-0000-0000-00003B000000}"/>
    <cellStyle name="Normal 8" xfId="19" xr:uid="{00000000-0005-0000-0000-00003C000000}"/>
    <cellStyle name="Normal 9" xfId="20" xr:uid="{00000000-0005-0000-0000-00003D000000}"/>
    <cellStyle name="Note" xfId="63" xr:uid="{00000000-0005-0000-0000-00003E000000}"/>
    <cellStyle name="Output" xfId="64" xr:uid="{00000000-0005-0000-0000-00003F000000}"/>
    <cellStyle name="Percent 2" xfId="21" xr:uid="{00000000-0005-0000-0000-000040000000}"/>
    <cellStyle name="Title" xfId="65" xr:uid="{00000000-0005-0000-0000-000041000000}"/>
    <cellStyle name="Total" xfId="66" xr:uid="{00000000-0005-0000-0000-000042000000}"/>
    <cellStyle name="Warning Text" xfId="67" xr:uid="{00000000-0005-0000-0000-000043000000}"/>
    <cellStyle name="เครื่องหมายจุลภาค 2" xfId="22" xr:uid="{00000000-0005-0000-0000-000044000000}"/>
    <cellStyle name="น้บะภฒ_95" xfId="68" xr:uid="{00000000-0005-0000-0000-000045000000}"/>
    <cellStyle name="ปกติ 2" xfId="23" xr:uid="{00000000-0005-0000-0000-000046000000}"/>
    <cellStyle name="ฤธถ [0]_95" xfId="69" xr:uid="{00000000-0005-0000-0000-00004A000000}"/>
    <cellStyle name="ฤธถ_95" xfId="70" xr:uid="{00000000-0005-0000-0000-00004B000000}"/>
    <cellStyle name="ล๋ศญ [0]_95" xfId="71" xr:uid="{00000000-0005-0000-0000-00004C000000}"/>
    <cellStyle name="ล๋ศญ_95" xfId="72" xr:uid="{00000000-0005-0000-0000-00004D000000}"/>
    <cellStyle name="วฅมุ_4ฟ๙ฝวภ๛" xfId="73" xr:uid="{00000000-0005-0000-0000-00004E000000}"/>
  </cellStyles>
  <dxfs count="0"/>
  <tableStyles count="0" defaultTableStyle="TableStyleMedium9" defaultPivotStyle="PivotStyleLight16"/>
  <colors>
    <mruColors>
      <color rgb="FFC5FFD8"/>
      <color rgb="FFFF00FF"/>
      <color rgb="FFF133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4</xdr:row>
      <xdr:rowOff>69850</xdr:rowOff>
    </xdr:from>
    <xdr:to>
      <xdr:col>0</xdr:col>
      <xdr:colOff>361950</xdr:colOff>
      <xdr:row>4</xdr:row>
      <xdr:rowOff>349250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BF163D6-E00B-47D6-B1C4-24E85CD64E19}"/>
            </a:ext>
          </a:extLst>
        </xdr:cNvPr>
        <xdr:cNvSpPr/>
      </xdr:nvSpPr>
      <xdr:spPr>
        <a:xfrm>
          <a:off x="63500" y="180975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4</xdr:col>
      <xdr:colOff>323850</xdr:colOff>
      <xdr:row>5</xdr:row>
      <xdr:rowOff>57150</xdr:rowOff>
    </xdr:from>
    <xdr:to>
      <xdr:col>4</xdr:col>
      <xdr:colOff>622300</xdr:colOff>
      <xdr:row>5</xdr:row>
      <xdr:rowOff>336550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3B1C9D3-01D8-419D-B0E9-7CA353A3C762}"/>
            </a:ext>
          </a:extLst>
        </xdr:cNvPr>
        <xdr:cNvSpPr/>
      </xdr:nvSpPr>
      <xdr:spPr>
        <a:xfrm>
          <a:off x="4445000" y="218440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2</xdr:col>
      <xdr:colOff>304800</xdr:colOff>
      <xdr:row>5</xdr:row>
      <xdr:rowOff>69850</xdr:rowOff>
    </xdr:from>
    <xdr:to>
      <xdr:col>2</xdr:col>
      <xdr:colOff>603250</xdr:colOff>
      <xdr:row>5</xdr:row>
      <xdr:rowOff>349250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A968D80-4A43-4B7E-8F9C-68345EB8D486}"/>
            </a:ext>
          </a:extLst>
        </xdr:cNvPr>
        <xdr:cNvSpPr/>
      </xdr:nvSpPr>
      <xdr:spPr>
        <a:xfrm>
          <a:off x="2914650" y="219710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7</xdr:col>
      <xdr:colOff>349250</xdr:colOff>
      <xdr:row>5</xdr:row>
      <xdr:rowOff>57150</xdr:rowOff>
    </xdr:from>
    <xdr:to>
      <xdr:col>7</xdr:col>
      <xdr:colOff>647700</xdr:colOff>
      <xdr:row>5</xdr:row>
      <xdr:rowOff>336550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F344E97-B4D6-48F1-8B09-8EBCE802A462}"/>
            </a:ext>
          </a:extLst>
        </xdr:cNvPr>
        <xdr:cNvSpPr/>
      </xdr:nvSpPr>
      <xdr:spPr>
        <a:xfrm>
          <a:off x="6527800" y="218440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7</xdr:col>
      <xdr:colOff>349250</xdr:colOff>
      <xdr:row>6</xdr:row>
      <xdr:rowOff>63500</xdr:rowOff>
    </xdr:from>
    <xdr:to>
      <xdr:col>7</xdr:col>
      <xdr:colOff>647700</xdr:colOff>
      <xdr:row>6</xdr:row>
      <xdr:rowOff>342900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777AE82-8807-4B3A-8939-499E55C38348}"/>
            </a:ext>
          </a:extLst>
        </xdr:cNvPr>
        <xdr:cNvSpPr/>
      </xdr:nvSpPr>
      <xdr:spPr>
        <a:xfrm>
          <a:off x="6527800" y="257810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4</xdr:col>
      <xdr:colOff>323850</xdr:colOff>
      <xdr:row>6</xdr:row>
      <xdr:rowOff>50800</xdr:rowOff>
    </xdr:from>
    <xdr:to>
      <xdr:col>4</xdr:col>
      <xdr:colOff>622300</xdr:colOff>
      <xdr:row>6</xdr:row>
      <xdr:rowOff>330200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4515C68-5AAD-4DF8-8916-EC4EC94C084E}"/>
            </a:ext>
          </a:extLst>
        </xdr:cNvPr>
        <xdr:cNvSpPr/>
      </xdr:nvSpPr>
      <xdr:spPr>
        <a:xfrm>
          <a:off x="4445000" y="256540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2</xdr:col>
      <xdr:colOff>317500</xdr:colOff>
      <xdr:row>6</xdr:row>
      <xdr:rowOff>50800</xdr:rowOff>
    </xdr:from>
    <xdr:to>
      <xdr:col>2</xdr:col>
      <xdr:colOff>615950</xdr:colOff>
      <xdr:row>6</xdr:row>
      <xdr:rowOff>330200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3660955-6579-48BE-AA61-4F009F4BEF13}"/>
            </a:ext>
          </a:extLst>
        </xdr:cNvPr>
        <xdr:cNvSpPr/>
      </xdr:nvSpPr>
      <xdr:spPr>
        <a:xfrm>
          <a:off x="2927350" y="256540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0</xdr:col>
      <xdr:colOff>69850</xdr:colOff>
      <xdr:row>7</xdr:row>
      <xdr:rowOff>63500</xdr:rowOff>
    </xdr:from>
    <xdr:to>
      <xdr:col>0</xdr:col>
      <xdr:colOff>368300</xdr:colOff>
      <xdr:row>7</xdr:row>
      <xdr:rowOff>342900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9C5710BB-241C-43EA-823C-FFE8DB694512}"/>
            </a:ext>
          </a:extLst>
        </xdr:cNvPr>
        <xdr:cNvSpPr/>
      </xdr:nvSpPr>
      <xdr:spPr>
        <a:xfrm>
          <a:off x="69850" y="296545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0</xdr:col>
      <xdr:colOff>57150</xdr:colOff>
      <xdr:row>8</xdr:row>
      <xdr:rowOff>57150</xdr:rowOff>
    </xdr:from>
    <xdr:to>
      <xdr:col>0</xdr:col>
      <xdr:colOff>355600</xdr:colOff>
      <xdr:row>8</xdr:row>
      <xdr:rowOff>336550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A98D3B5-B5C7-42AE-8012-1AD5DB883CF3}"/>
            </a:ext>
          </a:extLst>
        </xdr:cNvPr>
        <xdr:cNvSpPr/>
      </xdr:nvSpPr>
      <xdr:spPr>
        <a:xfrm>
          <a:off x="57150" y="334645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2</xdr:col>
      <xdr:colOff>336550</xdr:colOff>
      <xdr:row>9</xdr:row>
      <xdr:rowOff>69850</xdr:rowOff>
    </xdr:from>
    <xdr:to>
      <xdr:col>2</xdr:col>
      <xdr:colOff>635000</xdr:colOff>
      <xdr:row>9</xdr:row>
      <xdr:rowOff>349250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5646772-839F-446D-9F9D-91FA0039C9CC}"/>
            </a:ext>
          </a:extLst>
        </xdr:cNvPr>
        <xdr:cNvSpPr/>
      </xdr:nvSpPr>
      <xdr:spPr>
        <a:xfrm>
          <a:off x="2946400" y="374650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2</xdr:col>
      <xdr:colOff>336550</xdr:colOff>
      <xdr:row>10</xdr:row>
      <xdr:rowOff>50800</xdr:rowOff>
    </xdr:from>
    <xdr:to>
      <xdr:col>2</xdr:col>
      <xdr:colOff>635000</xdr:colOff>
      <xdr:row>10</xdr:row>
      <xdr:rowOff>330200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6023AFC-4A3A-47B3-A134-323BF99976F3}"/>
            </a:ext>
          </a:extLst>
        </xdr:cNvPr>
        <xdr:cNvSpPr/>
      </xdr:nvSpPr>
      <xdr:spPr>
        <a:xfrm>
          <a:off x="2946400" y="411480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5</xdr:col>
      <xdr:colOff>342900</xdr:colOff>
      <xdr:row>10</xdr:row>
      <xdr:rowOff>69850</xdr:rowOff>
    </xdr:from>
    <xdr:to>
      <xdr:col>5</xdr:col>
      <xdr:colOff>641350</xdr:colOff>
      <xdr:row>10</xdr:row>
      <xdr:rowOff>349250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C9E0C280-1369-47FF-AD4B-5566099D7DBC}"/>
            </a:ext>
          </a:extLst>
        </xdr:cNvPr>
        <xdr:cNvSpPr/>
      </xdr:nvSpPr>
      <xdr:spPr>
        <a:xfrm>
          <a:off x="5149850" y="413385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7</xdr:col>
      <xdr:colOff>342900</xdr:colOff>
      <xdr:row>10</xdr:row>
      <xdr:rowOff>82550</xdr:rowOff>
    </xdr:from>
    <xdr:to>
      <xdr:col>7</xdr:col>
      <xdr:colOff>641350</xdr:colOff>
      <xdr:row>10</xdr:row>
      <xdr:rowOff>361950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CE92632B-3E40-4887-971A-9633742E4402}"/>
            </a:ext>
          </a:extLst>
        </xdr:cNvPr>
        <xdr:cNvSpPr/>
      </xdr:nvSpPr>
      <xdr:spPr>
        <a:xfrm>
          <a:off x="6521450" y="414655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9</xdr:col>
      <xdr:colOff>641350</xdr:colOff>
      <xdr:row>10</xdr:row>
      <xdr:rowOff>76200</xdr:rowOff>
    </xdr:from>
    <xdr:to>
      <xdr:col>9</xdr:col>
      <xdr:colOff>939800</xdr:colOff>
      <xdr:row>10</xdr:row>
      <xdr:rowOff>355600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3D246CD-1C69-4830-BE6C-E3924A43EC04}"/>
            </a:ext>
          </a:extLst>
        </xdr:cNvPr>
        <xdr:cNvSpPr/>
      </xdr:nvSpPr>
      <xdr:spPr>
        <a:xfrm>
          <a:off x="8191500" y="414020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11</xdr:col>
      <xdr:colOff>381000</xdr:colOff>
      <xdr:row>10</xdr:row>
      <xdr:rowOff>69850</xdr:rowOff>
    </xdr:from>
    <xdr:to>
      <xdr:col>11</xdr:col>
      <xdr:colOff>679450</xdr:colOff>
      <xdr:row>10</xdr:row>
      <xdr:rowOff>349250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ACE2A806-EAFD-4468-9BA6-FB73490B0D08}"/>
            </a:ext>
          </a:extLst>
        </xdr:cNvPr>
        <xdr:cNvSpPr/>
      </xdr:nvSpPr>
      <xdr:spPr>
        <a:xfrm>
          <a:off x="9950450" y="413385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0</xdr:col>
      <xdr:colOff>57150</xdr:colOff>
      <xdr:row>11</xdr:row>
      <xdr:rowOff>50800</xdr:rowOff>
    </xdr:from>
    <xdr:to>
      <xdr:col>0</xdr:col>
      <xdr:colOff>355600</xdr:colOff>
      <xdr:row>11</xdr:row>
      <xdr:rowOff>330200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3D0828C-710D-474E-AF76-5B9E27E887AC}"/>
            </a:ext>
          </a:extLst>
        </xdr:cNvPr>
        <xdr:cNvSpPr/>
      </xdr:nvSpPr>
      <xdr:spPr>
        <a:xfrm>
          <a:off x="57150" y="450215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0</xdr:col>
      <xdr:colOff>69850</xdr:colOff>
      <xdr:row>12</xdr:row>
      <xdr:rowOff>63500</xdr:rowOff>
    </xdr:from>
    <xdr:to>
      <xdr:col>0</xdr:col>
      <xdr:colOff>368300</xdr:colOff>
      <xdr:row>12</xdr:row>
      <xdr:rowOff>342900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4BC954FE-5279-4C26-BC74-79AEFD1F739D}"/>
            </a:ext>
          </a:extLst>
        </xdr:cNvPr>
        <xdr:cNvSpPr/>
      </xdr:nvSpPr>
      <xdr:spPr>
        <a:xfrm>
          <a:off x="69850" y="490220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12</xdr:col>
      <xdr:colOff>831850</xdr:colOff>
      <xdr:row>10</xdr:row>
      <xdr:rowOff>57150</xdr:rowOff>
    </xdr:from>
    <xdr:to>
      <xdr:col>12</xdr:col>
      <xdr:colOff>1130300</xdr:colOff>
      <xdr:row>10</xdr:row>
      <xdr:rowOff>336550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EC1A6D1-7572-423E-98BE-FC29A7284CC0}"/>
            </a:ext>
          </a:extLst>
        </xdr:cNvPr>
        <xdr:cNvSpPr/>
      </xdr:nvSpPr>
      <xdr:spPr>
        <a:xfrm>
          <a:off x="11150600" y="4121150"/>
          <a:ext cx="298450" cy="279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236</xdr:row>
      <xdr:rowOff>28575</xdr:rowOff>
    </xdr:from>
    <xdr:to>
      <xdr:col>2</xdr:col>
      <xdr:colOff>581025</xdr:colOff>
      <xdr:row>240</xdr:row>
      <xdr:rowOff>190500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219325" y="77476350"/>
          <a:ext cx="114300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200">
              <a:latin typeface="TH SarabunPSK" pitchFamily="34" charset="-34"/>
              <a:cs typeface="TH SarabunPSK" pitchFamily="34" charset="-34"/>
            </a:rPr>
            <a:t>ไม่เบิกงบประมาณเนื่องจากได้รับสนับสนุนงบประมาณจากกองทุนสนับสนุนการสร้างเสริมสุขภาพ (สสส.)</a:t>
          </a:r>
        </a:p>
      </xdr:txBody>
    </xdr:sp>
    <xdr:clientData/>
  </xdr:twoCellAnchor>
  <xdr:twoCellAnchor>
    <xdr:from>
      <xdr:col>3</xdr:col>
      <xdr:colOff>219075</xdr:colOff>
      <xdr:row>289</xdr:row>
      <xdr:rowOff>76202</xdr:rowOff>
    </xdr:from>
    <xdr:to>
      <xdr:col>4</xdr:col>
      <xdr:colOff>552450</xdr:colOff>
      <xdr:row>296</xdr:row>
      <xdr:rowOff>19051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3629025" y="93478352"/>
          <a:ext cx="962025" cy="11334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200">
              <a:latin typeface="TH SarabunPSK" pitchFamily="34" charset="-34"/>
              <a:cs typeface="TH SarabunPSK" pitchFamily="34" charset="-34"/>
            </a:rPr>
            <a:t>ตามแผนต้องออกค่าใช้จ่ายเองแต่ผู้จัดแจ้งสามารถสนับสนุนค่าใช้จ่ายได้ เกือบทั้งหมด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5"/>
  <sheetViews>
    <sheetView zoomScale="80" zoomScaleNormal="80" workbookViewId="0">
      <pane ySplit="6" topLeftCell="A10" activePane="bottomLeft" state="frozen"/>
      <selection pane="bottomLeft" activeCell="B58" sqref="B58"/>
    </sheetView>
  </sheetViews>
  <sheetFormatPr defaultColWidth="9" defaultRowHeight="20.5"/>
  <cols>
    <col min="1" max="1" width="5" style="1" customWidth="1"/>
    <col min="2" max="2" width="28.33203125" style="1" customWidth="1"/>
    <col min="3" max="3" width="14.83203125" style="1" customWidth="1"/>
    <col min="4" max="4" width="6" style="1" customWidth="1"/>
    <col min="5" max="5" width="3.58203125" style="1" customWidth="1"/>
    <col min="6" max="6" width="7.5" style="1" customWidth="1"/>
    <col min="7" max="7" width="6.58203125" style="1" customWidth="1"/>
    <col min="8" max="8" width="3.58203125" style="1" customWidth="1"/>
    <col min="9" max="9" width="7.5" style="1" customWidth="1"/>
    <col min="10" max="10" width="7.08203125" style="1" customWidth="1"/>
    <col min="11" max="11" width="7.83203125" style="1" customWidth="1"/>
    <col min="12" max="12" width="9.58203125" style="1" customWidth="1"/>
    <col min="13" max="14" width="7.08203125" style="1" customWidth="1"/>
    <col min="15" max="15" width="8.08203125" style="1" customWidth="1"/>
    <col min="16" max="16" width="9.08203125" style="1" customWidth="1"/>
    <col min="17" max="17" width="34.83203125" style="1" customWidth="1"/>
    <col min="18" max="18" width="9" style="1" customWidth="1"/>
    <col min="19" max="16384" width="9" style="1"/>
  </cols>
  <sheetData>
    <row r="1" spans="1:17" ht="23">
      <c r="A1" s="547" t="s">
        <v>79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</row>
    <row r="3" spans="1:17">
      <c r="A3" s="548" t="s">
        <v>43</v>
      </c>
      <c r="B3" s="548"/>
      <c r="C3" s="548"/>
      <c r="P3" s="549" t="s">
        <v>78</v>
      </c>
      <c r="Q3" s="549"/>
    </row>
    <row r="4" spans="1:17" s="2" customFormat="1" ht="24" customHeight="1">
      <c r="A4" s="570" t="s">
        <v>92</v>
      </c>
      <c r="B4" s="570" t="s">
        <v>93</v>
      </c>
      <c r="C4" s="570" t="s">
        <v>103</v>
      </c>
      <c r="D4" s="550" t="s">
        <v>97</v>
      </c>
      <c r="E4" s="551"/>
      <c r="F4" s="552"/>
      <c r="G4" s="550" t="s">
        <v>98</v>
      </c>
      <c r="H4" s="551"/>
      <c r="I4" s="552"/>
      <c r="J4" s="556" t="s">
        <v>115</v>
      </c>
      <c r="K4" s="557"/>
      <c r="L4" s="557"/>
      <c r="M4" s="557"/>
      <c r="N4" s="557"/>
      <c r="O4" s="558"/>
      <c r="P4" s="559" t="s">
        <v>110</v>
      </c>
      <c r="Q4" s="570" t="s">
        <v>109</v>
      </c>
    </row>
    <row r="5" spans="1:17" s="2" customFormat="1" ht="37.5" customHeight="1">
      <c r="A5" s="570"/>
      <c r="B5" s="570"/>
      <c r="C5" s="570"/>
      <c r="D5" s="553"/>
      <c r="E5" s="554"/>
      <c r="F5" s="555"/>
      <c r="G5" s="553"/>
      <c r="H5" s="554"/>
      <c r="I5" s="555"/>
      <c r="J5" s="559" t="s">
        <v>99</v>
      </c>
      <c r="K5" s="559" t="s">
        <v>100</v>
      </c>
      <c r="L5" s="559" t="s">
        <v>107</v>
      </c>
      <c r="M5" s="559" t="s">
        <v>104</v>
      </c>
      <c r="N5" s="559" t="s">
        <v>101</v>
      </c>
      <c r="O5" s="559" t="s">
        <v>102</v>
      </c>
      <c r="P5" s="569"/>
      <c r="Q5" s="570"/>
    </row>
    <row r="6" spans="1:17" s="2" customFormat="1" ht="37.5" customHeight="1">
      <c r="A6" s="570"/>
      <c r="B6" s="570"/>
      <c r="C6" s="570"/>
      <c r="D6" s="3" t="s">
        <v>94</v>
      </c>
      <c r="E6" s="3" t="s">
        <v>95</v>
      </c>
      <c r="F6" s="3" t="s">
        <v>96</v>
      </c>
      <c r="G6" s="3" t="s">
        <v>94</v>
      </c>
      <c r="H6" s="3" t="s">
        <v>95</v>
      </c>
      <c r="I6" s="3" t="s">
        <v>96</v>
      </c>
      <c r="J6" s="560"/>
      <c r="K6" s="560"/>
      <c r="L6" s="560"/>
      <c r="M6" s="560"/>
      <c r="N6" s="560"/>
      <c r="O6" s="560"/>
      <c r="P6" s="560"/>
      <c r="Q6" s="570"/>
    </row>
    <row r="7" spans="1:17" ht="30" customHeight="1">
      <c r="A7" s="57">
        <v>1</v>
      </c>
      <c r="B7" s="4" t="s">
        <v>105</v>
      </c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6">
        <f>SUM(P8)</f>
        <v>263900</v>
      </c>
      <c r="Q7" s="5"/>
    </row>
    <row r="8" spans="1:17" ht="154.5" customHeight="1">
      <c r="A8" s="561">
        <v>1</v>
      </c>
      <c r="B8" s="15" t="s">
        <v>106</v>
      </c>
      <c r="C8" s="564" t="s">
        <v>108</v>
      </c>
      <c r="D8" s="17"/>
      <c r="E8" s="17"/>
      <c r="F8" s="17">
        <f>SUM(F9:F10)</f>
        <v>36400</v>
      </c>
      <c r="G8" s="17"/>
      <c r="H8" s="17"/>
      <c r="I8" s="17">
        <f>SUM(I9:I10)</f>
        <v>87500</v>
      </c>
      <c r="J8" s="17"/>
      <c r="K8" s="17">
        <f>SUM(K9:K10)</f>
        <v>130000</v>
      </c>
      <c r="L8" s="17"/>
      <c r="M8" s="17"/>
      <c r="N8" s="17"/>
      <c r="O8" s="17">
        <f>SUM(O9:O10)</f>
        <v>10000</v>
      </c>
      <c r="P8" s="16">
        <f>SUM(P9:P10)</f>
        <v>263900</v>
      </c>
      <c r="Q8" s="564" t="s">
        <v>129</v>
      </c>
    </row>
    <row r="9" spans="1:17" ht="150" customHeight="1">
      <c r="A9" s="562"/>
      <c r="B9" s="11" t="s">
        <v>123</v>
      </c>
      <c r="C9" s="565"/>
      <c r="D9" s="12">
        <v>3100</v>
      </c>
      <c r="E9" s="12">
        <v>7</v>
      </c>
      <c r="F9" s="12">
        <f>D9*E9</f>
        <v>21700</v>
      </c>
      <c r="G9" s="12">
        <v>10000</v>
      </c>
      <c r="H9" s="12">
        <v>5</v>
      </c>
      <c r="I9" s="12">
        <f>G9*H9</f>
        <v>50000</v>
      </c>
      <c r="J9" s="12"/>
      <c r="K9" s="12">
        <v>65000</v>
      </c>
      <c r="L9" s="12"/>
      <c r="M9" s="12"/>
      <c r="N9" s="12"/>
      <c r="O9" s="12">
        <v>5000</v>
      </c>
      <c r="P9" s="12">
        <f>SUM(F9,I9,J9:O9)</f>
        <v>141700</v>
      </c>
      <c r="Q9" s="567"/>
    </row>
    <row r="10" spans="1:17" ht="183" customHeight="1">
      <c r="A10" s="563"/>
      <c r="B10" s="23" t="s">
        <v>111</v>
      </c>
      <c r="C10" s="566"/>
      <c r="D10" s="24">
        <v>2100</v>
      </c>
      <c r="E10" s="24">
        <v>7</v>
      </c>
      <c r="F10" s="24">
        <f>D10*E10</f>
        <v>14700</v>
      </c>
      <c r="G10" s="24">
        <v>7500</v>
      </c>
      <c r="H10" s="24">
        <v>5</v>
      </c>
      <c r="I10" s="24">
        <f>G10*H10</f>
        <v>37500</v>
      </c>
      <c r="J10" s="24"/>
      <c r="K10" s="24">
        <v>65000</v>
      </c>
      <c r="L10" s="24"/>
      <c r="M10" s="24"/>
      <c r="N10" s="24"/>
      <c r="O10" s="24">
        <v>5000</v>
      </c>
      <c r="P10" s="24">
        <f>SUM(F10,I10,J10:O10)</f>
        <v>122200</v>
      </c>
      <c r="Q10" s="568"/>
    </row>
    <row r="11" spans="1:17" ht="30" customHeight="1">
      <c r="A11" s="57">
        <v>6</v>
      </c>
      <c r="B11" s="4" t="s">
        <v>112</v>
      </c>
      <c r="C11" s="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>
        <f>SUM(P12,P18,P22,P26,P29,P32)</f>
        <v>2042600</v>
      </c>
      <c r="Q11" s="8"/>
    </row>
    <row r="12" spans="1:17" ht="95.25" customHeight="1">
      <c r="A12" s="28">
        <v>1</v>
      </c>
      <c r="B12" s="15" t="s">
        <v>113</v>
      </c>
      <c r="C12" s="564" t="s">
        <v>117</v>
      </c>
      <c r="D12" s="17"/>
      <c r="E12" s="17"/>
      <c r="F12" s="17">
        <f>SUM(F13:F16)</f>
        <v>148800</v>
      </c>
      <c r="G12" s="17"/>
      <c r="H12" s="17"/>
      <c r="I12" s="17">
        <f>SUM(I13:I16)</f>
        <v>400000</v>
      </c>
      <c r="J12" s="17"/>
      <c r="K12" s="17">
        <f>SUM(K13:K16)</f>
        <v>135000</v>
      </c>
      <c r="L12" s="17">
        <f>SUM(L13:L16)</f>
        <v>28000</v>
      </c>
      <c r="M12" s="17"/>
      <c r="N12" s="17">
        <f>SUM(N13:N16)</f>
        <v>20000</v>
      </c>
      <c r="O12" s="17">
        <f>SUM(O13:O16)</f>
        <v>12000</v>
      </c>
      <c r="P12" s="16">
        <f>SUM(F12,I12,J12:O12)</f>
        <v>743800</v>
      </c>
      <c r="Q12" s="564" t="s">
        <v>128</v>
      </c>
    </row>
    <row r="13" spans="1:17" ht="61.5">
      <c r="A13" s="29"/>
      <c r="B13" s="11" t="s">
        <v>126</v>
      </c>
      <c r="C13" s="571"/>
      <c r="D13" s="12">
        <v>3100</v>
      </c>
      <c r="E13" s="12">
        <v>12</v>
      </c>
      <c r="F13" s="12">
        <f>D13*E13</f>
        <v>37200</v>
      </c>
      <c r="G13" s="12">
        <v>10000</v>
      </c>
      <c r="H13" s="12">
        <v>10</v>
      </c>
      <c r="I13" s="12">
        <f>G13*H13</f>
        <v>100000</v>
      </c>
      <c r="J13" s="12"/>
      <c r="K13" s="12">
        <v>60000</v>
      </c>
      <c r="L13" s="12">
        <v>7000</v>
      </c>
      <c r="M13" s="12"/>
      <c r="N13" s="12">
        <v>20000</v>
      </c>
      <c r="O13" s="12">
        <v>3000</v>
      </c>
      <c r="P13" s="12">
        <f>SUM(F13,I13,J13:O13)</f>
        <v>227200</v>
      </c>
      <c r="Q13" s="571"/>
    </row>
    <row r="14" spans="1:17" ht="145.5" customHeight="1">
      <c r="A14" s="29"/>
      <c r="B14" s="11" t="s">
        <v>125</v>
      </c>
      <c r="C14" s="571"/>
      <c r="D14" s="12">
        <v>3100</v>
      </c>
      <c r="E14" s="12">
        <v>12</v>
      </c>
      <c r="F14" s="12">
        <f>D14*E14</f>
        <v>37200</v>
      </c>
      <c r="G14" s="12">
        <v>10000</v>
      </c>
      <c r="H14" s="12">
        <v>10</v>
      </c>
      <c r="I14" s="12">
        <f>G14*H14</f>
        <v>100000</v>
      </c>
      <c r="J14" s="12"/>
      <c r="K14" s="12">
        <v>25000</v>
      </c>
      <c r="L14" s="12">
        <v>7000</v>
      </c>
      <c r="M14" s="12"/>
      <c r="N14" s="12"/>
      <c r="O14" s="12">
        <v>3000</v>
      </c>
      <c r="P14" s="12">
        <f>SUM(F14,I14,J14:O14)</f>
        <v>172200</v>
      </c>
      <c r="Q14" s="571"/>
    </row>
    <row r="15" spans="1:17" ht="88.5" customHeight="1">
      <c r="A15" s="29"/>
      <c r="B15" s="11" t="s">
        <v>124</v>
      </c>
      <c r="C15" s="571"/>
      <c r="D15" s="12">
        <v>3100</v>
      </c>
      <c r="E15" s="12">
        <v>12</v>
      </c>
      <c r="F15" s="12">
        <f>D15*E15</f>
        <v>37200</v>
      </c>
      <c r="G15" s="12">
        <v>10000</v>
      </c>
      <c r="H15" s="12">
        <v>10</v>
      </c>
      <c r="I15" s="12">
        <f>G15*H15</f>
        <v>100000</v>
      </c>
      <c r="J15" s="12"/>
      <c r="K15" s="12">
        <v>25000</v>
      </c>
      <c r="L15" s="12">
        <v>7000</v>
      </c>
      <c r="M15" s="12"/>
      <c r="N15" s="12"/>
      <c r="O15" s="12">
        <v>3000</v>
      </c>
      <c r="P15" s="12">
        <f>SUM(F15,I15,J15:O15)</f>
        <v>172200</v>
      </c>
      <c r="Q15" s="571"/>
    </row>
    <row r="16" spans="1:17" ht="102.5">
      <c r="A16" s="30"/>
      <c r="B16" s="23" t="s">
        <v>127</v>
      </c>
      <c r="C16" s="572"/>
      <c r="D16" s="24">
        <v>3100</v>
      </c>
      <c r="E16" s="24">
        <v>12</v>
      </c>
      <c r="F16" s="24">
        <f>D16*E16</f>
        <v>37200</v>
      </c>
      <c r="G16" s="24">
        <v>10000</v>
      </c>
      <c r="H16" s="24">
        <v>10</v>
      </c>
      <c r="I16" s="24">
        <f>G16*H16</f>
        <v>100000</v>
      </c>
      <c r="J16" s="24"/>
      <c r="K16" s="24">
        <v>25000</v>
      </c>
      <c r="L16" s="24">
        <v>7000</v>
      </c>
      <c r="M16" s="24"/>
      <c r="N16" s="24"/>
      <c r="O16" s="24">
        <v>3000</v>
      </c>
      <c r="P16" s="24">
        <f>SUM(F16,I16,J16:O16)</f>
        <v>172200</v>
      </c>
      <c r="Q16" s="572"/>
    </row>
    <row r="17" spans="1:17" ht="47.25" customHeight="1">
      <c r="A17" s="41"/>
      <c r="B17" s="42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</row>
    <row r="18" spans="1:17" ht="190.5" customHeight="1">
      <c r="A18" s="40">
        <v>2</v>
      </c>
      <c r="B18" s="33" t="s">
        <v>116</v>
      </c>
      <c r="C18" s="573" t="s">
        <v>120</v>
      </c>
      <c r="D18" s="34"/>
      <c r="E18" s="34"/>
      <c r="F18" s="34">
        <f>SUM(F19:F20)</f>
        <v>49600</v>
      </c>
      <c r="G18" s="34"/>
      <c r="H18" s="34"/>
      <c r="I18" s="34">
        <f>SUM(I19:I20)</f>
        <v>144000</v>
      </c>
      <c r="J18" s="34"/>
      <c r="K18" s="34">
        <f>SUM(K19:K20)</f>
        <v>195000</v>
      </c>
      <c r="L18" s="34">
        <f>SUM(L19:L20)</f>
        <v>14000</v>
      </c>
      <c r="M18" s="34"/>
      <c r="N18" s="34">
        <f>SUM(N19:N20)</f>
        <v>30000</v>
      </c>
      <c r="O18" s="34">
        <f>SUM(O19:O20)</f>
        <v>10000</v>
      </c>
      <c r="P18" s="35">
        <f>SUM(F18,I18,J18:O18)</f>
        <v>442600</v>
      </c>
      <c r="Q18" s="573" t="s">
        <v>122</v>
      </c>
    </row>
    <row r="19" spans="1:17" ht="145.5" customHeight="1">
      <c r="A19" s="29"/>
      <c r="B19" s="11" t="s">
        <v>130</v>
      </c>
      <c r="C19" s="574"/>
      <c r="D19" s="12">
        <v>3100</v>
      </c>
      <c r="E19" s="12">
        <v>8</v>
      </c>
      <c r="F19" s="12">
        <f>D19*E19</f>
        <v>24800</v>
      </c>
      <c r="G19" s="12">
        <v>12000</v>
      </c>
      <c r="H19" s="12">
        <v>6</v>
      </c>
      <c r="I19" s="12">
        <f>G19*H19</f>
        <v>72000</v>
      </c>
      <c r="J19" s="12"/>
      <c r="K19" s="12">
        <v>140000</v>
      </c>
      <c r="L19" s="12">
        <v>7000</v>
      </c>
      <c r="M19" s="12"/>
      <c r="N19" s="12">
        <v>30000</v>
      </c>
      <c r="O19" s="12">
        <v>5000</v>
      </c>
      <c r="P19" s="12">
        <f>SUM(F19,I19,J19:O19)</f>
        <v>278800</v>
      </c>
      <c r="Q19" s="574"/>
    </row>
    <row r="20" spans="1:17" ht="168" customHeight="1">
      <c r="A20" s="30"/>
      <c r="B20" s="25" t="s">
        <v>131</v>
      </c>
      <c r="C20" s="575"/>
      <c r="D20" s="24">
        <v>3100</v>
      </c>
      <c r="E20" s="24">
        <v>8</v>
      </c>
      <c r="F20" s="24">
        <f>D20*E20</f>
        <v>24800</v>
      </c>
      <c r="G20" s="24">
        <v>12000</v>
      </c>
      <c r="H20" s="24">
        <v>6</v>
      </c>
      <c r="I20" s="24">
        <f>G20*H20</f>
        <v>72000</v>
      </c>
      <c r="J20" s="24"/>
      <c r="K20" s="24">
        <v>55000</v>
      </c>
      <c r="L20" s="24">
        <v>7000</v>
      </c>
      <c r="M20" s="24"/>
      <c r="N20" s="24"/>
      <c r="O20" s="24">
        <v>5000</v>
      </c>
      <c r="P20" s="24">
        <f>SUM(F20,I20,J20:O20)</f>
        <v>163800</v>
      </c>
      <c r="Q20" s="575"/>
    </row>
    <row r="21" spans="1:17" ht="98.25" customHeight="1">
      <c r="A21" s="41"/>
      <c r="B21" s="42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2"/>
    </row>
    <row r="22" spans="1:17" ht="191.25" customHeight="1">
      <c r="A22" s="40">
        <v>3</v>
      </c>
      <c r="B22" s="33" t="s">
        <v>134</v>
      </c>
      <c r="C22" s="571" t="s">
        <v>118</v>
      </c>
      <c r="D22" s="34"/>
      <c r="E22" s="34"/>
      <c r="F22" s="34">
        <f>SUM(F23:F24)</f>
        <v>31200</v>
      </c>
      <c r="G22" s="34"/>
      <c r="H22" s="34"/>
      <c r="I22" s="34">
        <f>SUM(I23:I24)</f>
        <v>96000</v>
      </c>
      <c r="J22" s="34"/>
      <c r="K22" s="34">
        <f>SUM(K23:K24)</f>
        <v>110000</v>
      </c>
      <c r="L22" s="34">
        <f>SUM(L23:L24)</f>
        <v>14000</v>
      </c>
      <c r="M22" s="34"/>
      <c r="N22" s="34"/>
      <c r="O22" s="34">
        <f>SUM(O23:O24)</f>
        <v>10000</v>
      </c>
      <c r="P22" s="35">
        <f>SUM(F22,I22,J22:O22)</f>
        <v>261200</v>
      </c>
      <c r="Q22" s="573" t="s">
        <v>5</v>
      </c>
    </row>
    <row r="23" spans="1:17" ht="180" customHeight="1">
      <c r="A23" s="29"/>
      <c r="B23" s="11" t="s">
        <v>132</v>
      </c>
      <c r="C23" s="571"/>
      <c r="D23" s="12">
        <v>3100</v>
      </c>
      <c r="E23" s="12">
        <v>6</v>
      </c>
      <c r="F23" s="12">
        <f>D23*E23</f>
        <v>18600</v>
      </c>
      <c r="G23" s="12">
        <v>12000</v>
      </c>
      <c r="H23" s="12">
        <v>4</v>
      </c>
      <c r="I23" s="12">
        <f>G23*H23</f>
        <v>48000</v>
      </c>
      <c r="J23" s="12"/>
      <c r="K23" s="12">
        <v>55000</v>
      </c>
      <c r="L23" s="12">
        <v>7000</v>
      </c>
      <c r="M23" s="12"/>
      <c r="N23" s="12"/>
      <c r="O23" s="12">
        <v>5000</v>
      </c>
      <c r="P23" s="12">
        <f>SUM(F23,I23,J23:O23)</f>
        <v>133600</v>
      </c>
      <c r="Q23" s="574"/>
    </row>
    <row r="24" spans="1:17" ht="180" customHeight="1">
      <c r="A24" s="30"/>
      <c r="B24" s="25" t="s">
        <v>133</v>
      </c>
      <c r="C24" s="572"/>
      <c r="D24" s="24">
        <v>2100</v>
      </c>
      <c r="E24" s="24">
        <v>6</v>
      </c>
      <c r="F24" s="24">
        <f>D24*E24</f>
        <v>12600</v>
      </c>
      <c r="G24" s="24">
        <v>12000</v>
      </c>
      <c r="H24" s="24">
        <v>4</v>
      </c>
      <c r="I24" s="24">
        <f>G24*H24</f>
        <v>48000</v>
      </c>
      <c r="J24" s="24"/>
      <c r="K24" s="24">
        <v>55000</v>
      </c>
      <c r="L24" s="24">
        <v>7000</v>
      </c>
      <c r="M24" s="24"/>
      <c r="N24" s="24"/>
      <c r="O24" s="24">
        <v>5000</v>
      </c>
      <c r="P24" s="24">
        <f>SUM(F24,I24,J24:O24)</f>
        <v>127600</v>
      </c>
      <c r="Q24" s="575"/>
    </row>
    <row r="25" spans="1:17" ht="46.5" customHeight="1">
      <c r="A25" s="41"/>
      <c r="B25" s="42"/>
      <c r="C25" s="4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2"/>
    </row>
    <row r="26" spans="1:17" ht="192.75" customHeight="1">
      <c r="A26" s="40">
        <v>4</v>
      </c>
      <c r="B26" s="33" t="s">
        <v>135</v>
      </c>
      <c r="C26" s="573" t="s">
        <v>118</v>
      </c>
      <c r="D26" s="34"/>
      <c r="E26" s="34"/>
      <c r="F26" s="34">
        <f>SUM(F27:F28)</f>
        <v>31200</v>
      </c>
      <c r="G26" s="34"/>
      <c r="H26" s="34"/>
      <c r="I26" s="34">
        <f>SUM(I27:I28)</f>
        <v>96000</v>
      </c>
      <c r="J26" s="34"/>
      <c r="K26" s="34">
        <f>SUM(K27:K28)</f>
        <v>110000</v>
      </c>
      <c r="L26" s="34">
        <f>SUM(L27:L28)</f>
        <v>14000</v>
      </c>
      <c r="M26" s="34"/>
      <c r="N26" s="34"/>
      <c r="O26" s="34">
        <f>SUM(O27:O28)</f>
        <v>10000</v>
      </c>
      <c r="P26" s="35">
        <f>SUM(F26,I26,J26:O26)</f>
        <v>261200</v>
      </c>
      <c r="Q26" s="573" t="s">
        <v>0</v>
      </c>
    </row>
    <row r="27" spans="1:17" ht="126" customHeight="1">
      <c r="A27" s="29"/>
      <c r="B27" s="11" t="s">
        <v>132</v>
      </c>
      <c r="C27" s="574"/>
      <c r="D27" s="12">
        <v>3100</v>
      </c>
      <c r="E27" s="12">
        <v>6</v>
      </c>
      <c r="F27" s="12">
        <f>D27*E27</f>
        <v>18600</v>
      </c>
      <c r="G27" s="12">
        <v>12000</v>
      </c>
      <c r="H27" s="12">
        <v>4</v>
      </c>
      <c r="I27" s="12">
        <f>G27*H27</f>
        <v>48000</v>
      </c>
      <c r="J27" s="12"/>
      <c r="K27" s="12">
        <v>55000</v>
      </c>
      <c r="L27" s="12">
        <v>7000</v>
      </c>
      <c r="M27" s="12"/>
      <c r="N27" s="12"/>
      <c r="O27" s="12">
        <v>5000</v>
      </c>
      <c r="P27" s="12">
        <f>SUM(F27,I27,J27:O27)</f>
        <v>133600</v>
      </c>
      <c r="Q27" s="574"/>
    </row>
    <row r="28" spans="1:17" ht="126" customHeight="1">
      <c r="A28" s="30"/>
      <c r="B28" s="25" t="s">
        <v>1</v>
      </c>
      <c r="C28" s="575"/>
      <c r="D28" s="24">
        <v>2100</v>
      </c>
      <c r="E28" s="24">
        <v>6</v>
      </c>
      <c r="F28" s="24">
        <f>D28*E28</f>
        <v>12600</v>
      </c>
      <c r="G28" s="24">
        <v>12000</v>
      </c>
      <c r="H28" s="24">
        <v>4</v>
      </c>
      <c r="I28" s="24">
        <f>G28*H28</f>
        <v>48000</v>
      </c>
      <c r="J28" s="24"/>
      <c r="K28" s="24">
        <v>55000</v>
      </c>
      <c r="L28" s="24">
        <v>7000</v>
      </c>
      <c r="M28" s="24"/>
      <c r="N28" s="24"/>
      <c r="O28" s="24">
        <v>5000</v>
      </c>
      <c r="P28" s="24">
        <f>SUM(F28,I28,J28:O28)</f>
        <v>127600</v>
      </c>
      <c r="Q28" s="575"/>
    </row>
    <row r="29" spans="1:17" ht="267" customHeight="1">
      <c r="A29" s="28">
        <v>5</v>
      </c>
      <c r="B29" s="15" t="s">
        <v>136</v>
      </c>
      <c r="C29" s="576" t="s">
        <v>118</v>
      </c>
      <c r="D29" s="17"/>
      <c r="E29" s="17"/>
      <c r="F29" s="17">
        <f>SUM(F30)</f>
        <v>18600</v>
      </c>
      <c r="G29" s="17"/>
      <c r="H29" s="17"/>
      <c r="I29" s="17">
        <f>SUM(I30)</f>
        <v>48000</v>
      </c>
      <c r="J29" s="17"/>
      <c r="K29" s="17">
        <f>SUM(K30)</f>
        <v>55000</v>
      </c>
      <c r="L29" s="17">
        <f>SUM(L30)</f>
        <v>7000</v>
      </c>
      <c r="M29" s="17"/>
      <c r="N29" s="17"/>
      <c r="O29" s="17">
        <f>SUM(O30)</f>
        <v>5000</v>
      </c>
      <c r="P29" s="16">
        <f>SUM(F29,I29,J29:O29)</f>
        <v>133600</v>
      </c>
      <c r="Q29" s="576" t="s">
        <v>2</v>
      </c>
    </row>
    <row r="30" spans="1:17" ht="267" customHeight="1">
      <c r="A30" s="30"/>
      <c r="B30" s="23" t="s">
        <v>132</v>
      </c>
      <c r="C30" s="575"/>
      <c r="D30" s="24">
        <v>3100</v>
      </c>
      <c r="E30" s="24">
        <v>6</v>
      </c>
      <c r="F30" s="24">
        <f>D30*E30</f>
        <v>18600</v>
      </c>
      <c r="G30" s="24">
        <v>12000</v>
      </c>
      <c r="H30" s="24">
        <v>4</v>
      </c>
      <c r="I30" s="24">
        <f>G30*H30</f>
        <v>48000</v>
      </c>
      <c r="J30" s="24"/>
      <c r="K30" s="24">
        <v>55000</v>
      </c>
      <c r="L30" s="24">
        <v>7000</v>
      </c>
      <c r="M30" s="24"/>
      <c r="N30" s="24"/>
      <c r="O30" s="24">
        <v>5000</v>
      </c>
      <c r="P30" s="24">
        <f>SUM(F30,I30,J30:O30)</f>
        <v>133600</v>
      </c>
      <c r="Q30" s="575"/>
    </row>
    <row r="31" spans="1:17" ht="72.75" customHeight="1">
      <c r="A31" s="31"/>
      <c r="B31" s="37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6"/>
    </row>
    <row r="32" spans="1:17" ht="149.25" customHeight="1">
      <c r="A32" s="28">
        <v>6</v>
      </c>
      <c r="B32" s="15" t="s">
        <v>114</v>
      </c>
      <c r="C32" s="576" t="s">
        <v>119</v>
      </c>
      <c r="D32" s="17"/>
      <c r="E32" s="17"/>
      <c r="F32" s="17">
        <f>SUM(F33:F34)</f>
        <v>31200</v>
      </c>
      <c r="G32" s="17"/>
      <c r="H32" s="17"/>
      <c r="I32" s="17">
        <f>SUM(I33:I34)</f>
        <v>65000</v>
      </c>
      <c r="J32" s="17"/>
      <c r="K32" s="17">
        <f>SUM(K33:K34)</f>
        <v>30000</v>
      </c>
      <c r="L32" s="17">
        <f>SUM(L33:L34)</f>
        <v>14000</v>
      </c>
      <c r="M32" s="17"/>
      <c r="N32" s="17"/>
      <c r="O32" s="17">
        <f>SUM(O33:O34)</f>
        <v>60000</v>
      </c>
      <c r="P32" s="16">
        <f>SUM(F32,I32,J32:O32)</f>
        <v>200200</v>
      </c>
      <c r="Q32" s="576" t="s">
        <v>10</v>
      </c>
    </row>
    <row r="33" spans="1:17" ht="135" customHeight="1">
      <c r="A33" s="18"/>
      <c r="B33" s="11" t="s">
        <v>3</v>
      </c>
      <c r="C33" s="574"/>
      <c r="D33" s="12">
        <v>3100</v>
      </c>
      <c r="E33" s="12">
        <v>6</v>
      </c>
      <c r="F33" s="12">
        <f>D33*E33</f>
        <v>18600</v>
      </c>
      <c r="G33" s="12">
        <v>8125</v>
      </c>
      <c r="H33" s="12">
        <v>4</v>
      </c>
      <c r="I33" s="12">
        <f>G33*H33</f>
        <v>32500</v>
      </c>
      <c r="J33" s="12"/>
      <c r="K33" s="12">
        <v>15000</v>
      </c>
      <c r="L33" s="12">
        <v>7000</v>
      </c>
      <c r="M33" s="12"/>
      <c r="N33" s="12"/>
      <c r="O33" s="12">
        <v>30000</v>
      </c>
      <c r="P33" s="12">
        <f>SUM(F33,I33,J33:O33)</f>
        <v>103100</v>
      </c>
      <c r="Q33" s="574"/>
    </row>
    <row r="34" spans="1:17" ht="135" customHeight="1">
      <c r="A34" s="19"/>
      <c r="B34" s="25" t="s">
        <v>4</v>
      </c>
      <c r="C34" s="575"/>
      <c r="D34" s="24">
        <v>2100</v>
      </c>
      <c r="E34" s="24">
        <v>6</v>
      </c>
      <c r="F34" s="24">
        <f>D34*E34</f>
        <v>12600</v>
      </c>
      <c r="G34" s="24">
        <v>8125</v>
      </c>
      <c r="H34" s="24">
        <v>4</v>
      </c>
      <c r="I34" s="24">
        <f>G34*H34</f>
        <v>32500</v>
      </c>
      <c r="J34" s="24"/>
      <c r="K34" s="24">
        <v>15000</v>
      </c>
      <c r="L34" s="24">
        <v>7000</v>
      </c>
      <c r="M34" s="24"/>
      <c r="N34" s="24"/>
      <c r="O34" s="24">
        <v>30000</v>
      </c>
      <c r="P34" s="24">
        <f>SUM(F34,I34,J34:O34)</f>
        <v>97100</v>
      </c>
      <c r="Q34" s="575"/>
    </row>
    <row r="35" spans="1:17" ht="183" customHeight="1">
      <c r="A35" s="53"/>
      <c r="B35" s="54"/>
      <c r="C35" s="55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55"/>
    </row>
    <row r="36" spans="1:17" ht="30" customHeight="1">
      <c r="A36" s="58">
        <v>1</v>
      </c>
      <c r="B36" s="61" t="s">
        <v>6</v>
      </c>
      <c r="C36" s="59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>
        <f>SUM(P37)</f>
        <v>275400</v>
      </c>
      <c r="Q36" s="60"/>
    </row>
    <row r="37" spans="1:17" ht="145.5" customHeight="1">
      <c r="A37" s="50">
        <v>1</v>
      </c>
      <c r="B37" s="56" t="s">
        <v>14</v>
      </c>
      <c r="C37" s="576" t="s">
        <v>7</v>
      </c>
      <c r="D37" s="17"/>
      <c r="E37" s="17"/>
      <c r="F37" s="17">
        <f>SUM(F38:F39)</f>
        <v>29400</v>
      </c>
      <c r="G37" s="17"/>
      <c r="H37" s="17"/>
      <c r="I37" s="17">
        <f>SUM(I38:I39)</f>
        <v>60000</v>
      </c>
      <c r="J37" s="17"/>
      <c r="K37" s="17">
        <f>SUM(K38:K39)</f>
        <v>120000</v>
      </c>
      <c r="L37" s="17"/>
      <c r="M37" s="17"/>
      <c r="N37" s="17"/>
      <c r="O37" s="17">
        <f>SUM(O38:O39)</f>
        <v>66000</v>
      </c>
      <c r="P37" s="16">
        <f>SUM(F37,I37,J37:O37)</f>
        <v>275400</v>
      </c>
      <c r="Q37" s="576" t="s">
        <v>8</v>
      </c>
    </row>
    <row r="38" spans="1:17" ht="147" customHeight="1">
      <c r="A38" s="48"/>
      <c r="B38" s="11" t="s">
        <v>9</v>
      </c>
      <c r="C38" s="574"/>
      <c r="D38" s="12">
        <v>2100</v>
      </c>
      <c r="E38" s="12">
        <v>7</v>
      </c>
      <c r="F38" s="12">
        <f>D38*E38</f>
        <v>14700</v>
      </c>
      <c r="G38" s="12">
        <v>5000</v>
      </c>
      <c r="H38" s="12">
        <v>6</v>
      </c>
      <c r="I38" s="12">
        <f>G38*H38</f>
        <v>30000</v>
      </c>
      <c r="J38" s="12"/>
      <c r="K38" s="12">
        <v>60000</v>
      </c>
      <c r="L38" s="12"/>
      <c r="M38" s="12"/>
      <c r="N38" s="12"/>
      <c r="O38" s="12">
        <v>33000</v>
      </c>
      <c r="P38" s="12">
        <f>SUM(F38,I38,J38:O38)</f>
        <v>137700</v>
      </c>
      <c r="Q38" s="574"/>
    </row>
    <row r="39" spans="1:17" ht="175.5" customHeight="1">
      <c r="A39" s="49"/>
      <c r="B39" s="23" t="s">
        <v>9</v>
      </c>
      <c r="C39" s="575"/>
      <c r="D39" s="24">
        <v>2100</v>
      </c>
      <c r="E39" s="24">
        <v>7</v>
      </c>
      <c r="F39" s="24">
        <f>D39*E39</f>
        <v>14700</v>
      </c>
      <c r="G39" s="24">
        <v>5000</v>
      </c>
      <c r="H39" s="24">
        <v>6</v>
      </c>
      <c r="I39" s="24">
        <f>G39*H39</f>
        <v>30000</v>
      </c>
      <c r="J39" s="24"/>
      <c r="K39" s="24">
        <v>60000</v>
      </c>
      <c r="L39" s="24"/>
      <c r="M39" s="24"/>
      <c r="N39" s="24"/>
      <c r="O39" s="24">
        <v>33000</v>
      </c>
      <c r="P39" s="24">
        <f>SUM(F39,I39,J39:O39)</f>
        <v>137700</v>
      </c>
      <c r="Q39" s="575"/>
    </row>
    <row r="40" spans="1:17" ht="95.25" customHeight="1">
      <c r="A40" s="62"/>
      <c r="B40" s="42"/>
      <c r="C40" s="55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55"/>
    </row>
    <row r="41" spans="1:17" ht="54" customHeight="1">
      <c r="A41" s="58">
        <v>3</v>
      </c>
      <c r="B41" s="61" t="s">
        <v>11</v>
      </c>
      <c r="C41" s="59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2">
        <f>SUM(P42,P46,P57)</f>
        <v>1806200</v>
      </c>
      <c r="Q41" s="60"/>
    </row>
    <row r="42" spans="1:17" ht="152.25" customHeight="1">
      <c r="A42" s="28">
        <v>1</v>
      </c>
      <c r="B42" s="56" t="s">
        <v>12</v>
      </c>
      <c r="C42" s="576" t="s">
        <v>13</v>
      </c>
      <c r="D42" s="17"/>
      <c r="E42" s="17"/>
      <c r="F42" s="17">
        <f>SUM(F43:F45)</f>
        <v>33200</v>
      </c>
      <c r="G42" s="17"/>
      <c r="H42" s="17"/>
      <c r="I42" s="17">
        <f>SUM(I43:I45)</f>
        <v>52200</v>
      </c>
      <c r="J42" s="17"/>
      <c r="K42" s="17">
        <f>SUM(K43:K45)</f>
        <v>75000</v>
      </c>
      <c r="L42" s="17"/>
      <c r="M42" s="17"/>
      <c r="N42" s="17"/>
      <c r="O42" s="17">
        <f>SUM(O43:O45)</f>
        <v>27000</v>
      </c>
      <c r="P42" s="16">
        <f t="shared" ref="P42:P61" si="0">SUM(F42,I42,J42:O42)</f>
        <v>187400</v>
      </c>
      <c r="Q42" s="576" t="s">
        <v>15</v>
      </c>
    </row>
    <row r="43" spans="1:17" ht="130.5" customHeight="1">
      <c r="A43" s="18"/>
      <c r="B43" s="22" t="s">
        <v>16</v>
      </c>
      <c r="C43" s="574"/>
      <c r="D43" s="12">
        <v>3100</v>
      </c>
      <c r="E43" s="12">
        <v>4</v>
      </c>
      <c r="F43" s="12">
        <f>D43*E43</f>
        <v>12400</v>
      </c>
      <c r="G43" s="12">
        <v>5800</v>
      </c>
      <c r="H43" s="12">
        <v>3</v>
      </c>
      <c r="I43" s="12">
        <f>G43*H43</f>
        <v>17400</v>
      </c>
      <c r="J43" s="12"/>
      <c r="K43" s="12">
        <v>25000</v>
      </c>
      <c r="L43" s="12"/>
      <c r="M43" s="12"/>
      <c r="N43" s="12"/>
      <c r="O43" s="12">
        <v>10000</v>
      </c>
      <c r="P43" s="12">
        <f t="shared" si="0"/>
        <v>64800</v>
      </c>
      <c r="Q43" s="574"/>
    </row>
    <row r="44" spans="1:17" ht="130.5" customHeight="1">
      <c r="A44" s="18"/>
      <c r="B44" s="22" t="s">
        <v>17</v>
      </c>
      <c r="C44" s="574"/>
      <c r="D44" s="12">
        <v>3100</v>
      </c>
      <c r="E44" s="12">
        <v>4</v>
      </c>
      <c r="F44" s="12">
        <f>D44*E44</f>
        <v>12400</v>
      </c>
      <c r="G44" s="12">
        <v>5800</v>
      </c>
      <c r="H44" s="12">
        <v>3</v>
      </c>
      <c r="I44" s="12">
        <f>G44*H44</f>
        <v>17400</v>
      </c>
      <c r="J44" s="12"/>
      <c r="K44" s="12">
        <v>25000</v>
      </c>
      <c r="L44" s="12"/>
      <c r="M44" s="12"/>
      <c r="N44" s="12"/>
      <c r="O44" s="12">
        <v>7000</v>
      </c>
      <c r="P44" s="12">
        <f t="shared" si="0"/>
        <v>61800</v>
      </c>
      <c r="Q44" s="574"/>
    </row>
    <row r="45" spans="1:17" ht="130.5" customHeight="1">
      <c r="A45" s="19"/>
      <c r="B45" s="25" t="s">
        <v>18</v>
      </c>
      <c r="C45" s="575"/>
      <c r="D45" s="24">
        <v>2100</v>
      </c>
      <c r="E45" s="24">
        <v>4</v>
      </c>
      <c r="F45" s="24">
        <f>D45*E45</f>
        <v>8400</v>
      </c>
      <c r="G45" s="24">
        <v>5800</v>
      </c>
      <c r="H45" s="24">
        <v>3</v>
      </c>
      <c r="I45" s="24">
        <f>G45*H45</f>
        <v>17400</v>
      </c>
      <c r="J45" s="24"/>
      <c r="K45" s="24">
        <v>25000</v>
      </c>
      <c r="L45" s="24"/>
      <c r="M45" s="24"/>
      <c r="N45" s="24"/>
      <c r="O45" s="24">
        <v>10000</v>
      </c>
      <c r="P45" s="24">
        <f t="shared" si="0"/>
        <v>60800</v>
      </c>
      <c r="Q45" s="575"/>
    </row>
    <row r="46" spans="1:17" ht="99.75" customHeight="1">
      <c r="A46" s="50">
        <v>2</v>
      </c>
      <c r="B46" s="56" t="s">
        <v>20</v>
      </c>
      <c r="C46" s="576" t="s">
        <v>19</v>
      </c>
      <c r="D46" s="17"/>
      <c r="E46" s="17"/>
      <c r="F46" s="17">
        <f>SUM(F47:F56)</f>
        <v>138000</v>
      </c>
      <c r="G46" s="17"/>
      <c r="H46" s="17"/>
      <c r="I46" s="17">
        <f>SUM(I47:I56)</f>
        <v>336000</v>
      </c>
      <c r="J46" s="17"/>
      <c r="K46" s="17">
        <f>SUM(K47:K56)</f>
        <v>284000</v>
      </c>
      <c r="L46" s="17"/>
      <c r="M46" s="17"/>
      <c r="N46" s="17"/>
      <c r="O46" s="17">
        <f>SUM(O47:O56)</f>
        <v>28000</v>
      </c>
      <c r="P46" s="16">
        <f t="shared" si="0"/>
        <v>786000</v>
      </c>
      <c r="Q46" s="576" t="s">
        <v>30</v>
      </c>
    </row>
    <row r="47" spans="1:17">
      <c r="A47" s="63"/>
      <c r="B47" s="22" t="s">
        <v>121</v>
      </c>
      <c r="C47" s="574"/>
      <c r="D47" s="12">
        <v>3100</v>
      </c>
      <c r="E47" s="12">
        <v>6</v>
      </c>
      <c r="F47" s="12">
        <f t="shared" ref="F47:F56" si="1">D47*E47</f>
        <v>18600</v>
      </c>
      <c r="G47" s="12">
        <v>7000</v>
      </c>
      <c r="H47" s="12">
        <v>6</v>
      </c>
      <c r="I47" s="12">
        <f t="shared" ref="I47:I56" si="2">G47*H47</f>
        <v>42000</v>
      </c>
      <c r="J47" s="12"/>
      <c r="K47" s="12">
        <v>30000</v>
      </c>
      <c r="L47" s="12"/>
      <c r="M47" s="12"/>
      <c r="N47" s="12"/>
      <c r="O47" s="12"/>
      <c r="P47" s="12">
        <f t="shared" si="0"/>
        <v>90600</v>
      </c>
      <c r="Q47" s="574"/>
    </row>
    <row r="48" spans="1:17" ht="41">
      <c r="A48" s="63"/>
      <c r="B48" s="22" t="s">
        <v>21</v>
      </c>
      <c r="C48" s="574"/>
      <c r="D48" s="12">
        <v>3100</v>
      </c>
      <c r="E48" s="12">
        <v>6</v>
      </c>
      <c r="F48" s="12">
        <f t="shared" si="1"/>
        <v>18600</v>
      </c>
      <c r="G48" s="12">
        <v>7000</v>
      </c>
      <c r="H48" s="12">
        <v>6</v>
      </c>
      <c r="I48" s="12">
        <f t="shared" si="2"/>
        <v>42000</v>
      </c>
      <c r="J48" s="12"/>
      <c r="K48" s="12">
        <v>30000</v>
      </c>
      <c r="L48" s="12"/>
      <c r="M48" s="12"/>
      <c r="N48" s="12"/>
      <c r="O48" s="12"/>
      <c r="P48" s="12">
        <f t="shared" si="0"/>
        <v>90600</v>
      </c>
      <c r="Q48" s="574"/>
    </row>
    <row r="49" spans="1:17" ht="41">
      <c r="A49" s="63"/>
      <c r="B49" s="22" t="s">
        <v>22</v>
      </c>
      <c r="C49" s="574"/>
      <c r="D49" s="12">
        <v>2100</v>
      </c>
      <c r="E49" s="12">
        <v>6</v>
      </c>
      <c r="F49" s="12">
        <f t="shared" si="1"/>
        <v>12600</v>
      </c>
      <c r="G49" s="12">
        <v>5250</v>
      </c>
      <c r="H49" s="12">
        <v>6</v>
      </c>
      <c r="I49" s="12">
        <f t="shared" si="2"/>
        <v>31500</v>
      </c>
      <c r="J49" s="12"/>
      <c r="K49" s="12">
        <v>28000</v>
      </c>
      <c r="L49" s="12"/>
      <c r="M49" s="12"/>
      <c r="N49" s="12"/>
      <c r="O49" s="12">
        <v>21000</v>
      </c>
      <c r="P49" s="12">
        <f t="shared" si="0"/>
        <v>93100</v>
      </c>
      <c r="Q49" s="574"/>
    </row>
    <row r="50" spans="1:17" ht="41">
      <c r="A50" s="63"/>
      <c r="B50" s="22" t="s">
        <v>23</v>
      </c>
      <c r="C50" s="574"/>
      <c r="D50" s="12">
        <v>2100</v>
      </c>
      <c r="E50" s="12">
        <v>6</v>
      </c>
      <c r="F50" s="12">
        <f t="shared" si="1"/>
        <v>12600</v>
      </c>
      <c r="G50" s="12">
        <v>5250</v>
      </c>
      <c r="H50" s="12">
        <v>6</v>
      </c>
      <c r="I50" s="12">
        <f t="shared" si="2"/>
        <v>31500</v>
      </c>
      <c r="J50" s="12"/>
      <c r="K50" s="12">
        <v>28000</v>
      </c>
      <c r="L50" s="12"/>
      <c r="M50" s="12"/>
      <c r="N50" s="12"/>
      <c r="O50" s="12">
        <v>1000</v>
      </c>
      <c r="P50" s="12">
        <f t="shared" si="0"/>
        <v>73100</v>
      </c>
      <c r="Q50" s="574"/>
    </row>
    <row r="51" spans="1:17" ht="41">
      <c r="A51" s="63"/>
      <c r="B51" s="22" t="s">
        <v>24</v>
      </c>
      <c r="C51" s="574"/>
      <c r="D51" s="12">
        <v>2100</v>
      </c>
      <c r="E51" s="12">
        <v>6</v>
      </c>
      <c r="F51" s="12">
        <f t="shared" si="1"/>
        <v>12600</v>
      </c>
      <c r="G51" s="12">
        <v>5250</v>
      </c>
      <c r="H51" s="12">
        <v>6</v>
      </c>
      <c r="I51" s="12">
        <f t="shared" si="2"/>
        <v>31500</v>
      </c>
      <c r="J51" s="12"/>
      <c r="K51" s="12">
        <v>28000</v>
      </c>
      <c r="L51" s="12"/>
      <c r="M51" s="12"/>
      <c r="N51" s="12"/>
      <c r="O51" s="12">
        <v>1000</v>
      </c>
      <c r="P51" s="12">
        <f t="shared" si="0"/>
        <v>73100</v>
      </c>
      <c r="Q51" s="574"/>
    </row>
    <row r="52" spans="1:17" ht="41">
      <c r="A52" s="63"/>
      <c r="B52" s="22" t="s">
        <v>25</v>
      </c>
      <c r="C52" s="574"/>
      <c r="D52" s="12">
        <v>2100</v>
      </c>
      <c r="E52" s="12">
        <v>6</v>
      </c>
      <c r="F52" s="12">
        <f t="shared" si="1"/>
        <v>12600</v>
      </c>
      <c r="G52" s="12">
        <v>5250</v>
      </c>
      <c r="H52" s="12">
        <v>6</v>
      </c>
      <c r="I52" s="12">
        <f t="shared" si="2"/>
        <v>31500</v>
      </c>
      <c r="J52" s="12"/>
      <c r="K52" s="12">
        <v>28000</v>
      </c>
      <c r="L52" s="12"/>
      <c r="M52" s="12"/>
      <c r="N52" s="12"/>
      <c r="O52" s="12">
        <v>1000</v>
      </c>
      <c r="P52" s="12">
        <f t="shared" si="0"/>
        <v>73100</v>
      </c>
      <c r="Q52" s="574"/>
    </row>
    <row r="53" spans="1:17" ht="48.75" customHeight="1">
      <c r="A53" s="63"/>
      <c r="B53" s="22" t="s">
        <v>26</v>
      </c>
      <c r="C53" s="574"/>
      <c r="D53" s="12">
        <v>2100</v>
      </c>
      <c r="E53" s="12">
        <v>6</v>
      </c>
      <c r="F53" s="12">
        <f t="shared" si="1"/>
        <v>12600</v>
      </c>
      <c r="G53" s="12">
        <v>5250</v>
      </c>
      <c r="H53" s="12">
        <v>6</v>
      </c>
      <c r="I53" s="12">
        <f t="shared" si="2"/>
        <v>31500</v>
      </c>
      <c r="J53" s="12"/>
      <c r="K53" s="12">
        <v>28000</v>
      </c>
      <c r="L53" s="12"/>
      <c r="M53" s="12"/>
      <c r="N53" s="12"/>
      <c r="O53" s="12">
        <v>1000</v>
      </c>
      <c r="P53" s="12">
        <f t="shared" si="0"/>
        <v>73100</v>
      </c>
      <c r="Q53" s="574"/>
    </row>
    <row r="54" spans="1:17" ht="41">
      <c r="A54" s="63"/>
      <c r="B54" s="22" t="s">
        <v>27</v>
      </c>
      <c r="C54" s="574"/>
      <c r="D54" s="12">
        <v>2100</v>
      </c>
      <c r="E54" s="12">
        <v>6</v>
      </c>
      <c r="F54" s="12">
        <f t="shared" si="1"/>
        <v>12600</v>
      </c>
      <c r="G54" s="12">
        <v>5250</v>
      </c>
      <c r="H54" s="12">
        <v>6</v>
      </c>
      <c r="I54" s="12">
        <f t="shared" si="2"/>
        <v>31500</v>
      </c>
      <c r="J54" s="12"/>
      <c r="K54" s="12">
        <v>28000</v>
      </c>
      <c r="L54" s="12"/>
      <c r="M54" s="12"/>
      <c r="N54" s="12"/>
      <c r="O54" s="12">
        <v>1000</v>
      </c>
      <c r="P54" s="12">
        <f t="shared" si="0"/>
        <v>73100</v>
      </c>
      <c r="Q54" s="574"/>
    </row>
    <row r="55" spans="1:17" ht="41">
      <c r="A55" s="63"/>
      <c r="B55" s="22" t="s">
        <v>28</v>
      </c>
      <c r="C55" s="574"/>
      <c r="D55" s="12">
        <v>2100</v>
      </c>
      <c r="E55" s="12">
        <v>6</v>
      </c>
      <c r="F55" s="12">
        <f t="shared" si="1"/>
        <v>12600</v>
      </c>
      <c r="G55" s="12">
        <v>5250</v>
      </c>
      <c r="H55" s="12">
        <v>6</v>
      </c>
      <c r="I55" s="12">
        <f t="shared" si="2"/>
        <v>31500</v>
      </c>
      <c r="J55" s="12"/>
      <c r="K55" s="12">
        <v>28000</v>
      </c>
      <c r="L55" s="12"/>
      <c r="M55" s="12"/>
      <c r="N55" s="12"/>
      <c r="O55" s="12">
        <v>1000</v>
      </c>
      <c r="P55" s="12">
        <f t="shared" si="0"/>
        <v>73100</v>
      </c>
      <c r="Q55" s="574"/>
    </row>
    <row r="56" spans="1:17" ht="41">
      <c r="A56" s="64"/>
      <c r="B56" s="25" t="s">
        <v>29</v>
      </c>
      <c r="C56" s="575"/>
      <c r="D56" s="24">
        <v>2100</v>
      </c>
      <c r="E56" s="24">
        <v>6</v>
      </c>
      <c r="F56" s="24">
        <f t="shared" si="1"/>
        <v>12600</v>
      </c>
      <c r="G56" s="24">
        <v>5250</v>
      </c>
      <c r="H56" s="24">
        <v>6</v>
      </c>
      <c r="I56" s="24">
        <f t="shared" si="2"/>
        <v>31500</v>
      </c>
      <c r="J56" s="24"/>
      <c r="K56" s="24">
        <v>28000</v>
      </c>
      <c r="L56" s="24"/>
      <c r="M56" s="24"/>
      <c r="N56" s="24"/>
      <c r="O56" s="24">
        <v>1000</v>
      </c>
      <c r="P56" s="24">
        <f t="shared" si="0"/>
        <v>73100</v>
      </c>
      <c r="Q56" s="575"/>
    </row>
    <row r="57" spans="1:17" ht="67.5" customHeight="1">
      <c r="A57" s="28">
        <v>3</v>
      </c>
      <c r="B57" s="56" t="s">
        <v>31</v>
      </c>
      <c r="C57" s="576" t="s">
        <v>32</v>
      </c>
      <c r="D57" s="17"/>
      <c r="E57" s="17"/>
      <c r="F57" s="17">
        <f>SUM(F58:F61)</f>
        <v>86800</v>
      </c>
      <c r="G57" s="17"/>
      <c r="H57" s="17"/>
      <c r="I57" s="17">
        <f>SUM(I58:I61)</f>
        <v>252000</v>
      </c>
      <c r="J57" s="17"/>
      <c r="K57" s="17">
        <f>SUM(K58:K61)</f>
        <v>354000</v>
      </c>
      <c r="L57" s="17"/>
      <c r="M57" s="17"/>
      <c r="N57" s="17"/>
      <c r="O57" s="17">
        <f>SUM(O58:O61)</f>
        <v>140000</v>
      </c>
      <c r="P57" s="16">
        <f t="shared" si="0"/>
        <v>832800</v>
      </c>
      <c r="Q57" s="576" t="s">
        <v>36</v>
      </c>
    </row>
    <row r="58" spans="1:17" ht="67.5" customHeight="1">
      <c r="A58" s="18"/>
      <c r="B58" s="22" t="s">
        <v>121</v>
      </c>
      <c r="C58" s="574"/>
      <c r="D58" s="12">
        <v>3100</v>
      </c>
      <c r="E58" s="12">
        <v>7</v>
      </c>
      <c r="F58" s="12">
        <f>D58*E58</f>
        <v>21700</v>
      </c>
      <c r="G58" s="12">
        <v>9000</v>
      </c>
      <c r="H58" s="12">
        <v>7</v>
      </c>
      <c r="I58" s="12">
        <f>G58*H58</f>
        <v>63000</v>
      </c>
      <c r="J58" s="12"/>
      <c r="K58" s="12">
        <v>88500</v>
      </c>
      <c r="L58" s="12"/>
      <c r="M58" s="12"/>
      <c r="N58" s="12"/>
      <c r="O58" s="12">
        <v>35000</v>
      </c>
      <c r="P58" s="12">
        <f t="shared" si="0"/>
        <v>208200</v>
      </c>
      <c r="Q58" s="574"/>
    </row>
    <row r="59" spans="1:17" ht="67.5" customHeight="1">
      <c r="A59" s="18"/>
      <c r="B59" s="22" t="s">
        <v>33</v>
      </c>
      <c r="C59" s="574"/>
      <c r="D59" s="12">
        <v>3100</v>
      </c>
      <c r="E59" s="12">
        <v>7</v>
      </c>
      <c r="F59" s="12">
        <f>D59*E59</f>
        <v>21700</v>
      </c>
      <c r="G59" s="12">
        <v>9000</v>
      </c>
      <c r="H59" s="12">
        <v>7</v>
      </c>
      <c r="I59" s="12">
        <f>G59*H59</f>
        <v>63000</v>
      </c>
      <c r="J59" s="12"/>
      <c r="K59" s="12">
        <v>88500</v>
      </c>
      <c r="L59" s="12"/>
      <c r="M59" s="12"/>
      <c r="N59" s="12"/>
      <c r="O59" s="12">
        <v>35000</v>
      </c>
      <c r="P59" s="12">
        <f t="shared" si="0"/>
        <v>208200</v>
      </c>
      <c r="Q59" s="574"/>
    </row>
    <row r="60" spans="1:17" ht="67.5" customHeight="1">
      <c r="A60" s="18"/>
      <c r="B60" s="22" t="s">
        <v>34</v>
      </c>
      <c r="C60" s="574"/>
      <c r="D60" s="12">
        <v>3100</v>
      </c>
      <c r="E60" s="12">
        <v>7</v>
      </c>
      <c r="F60" s="12">
        <f>D60*E60</f>
        <v>21700</v>
      </c>
      <c r="G60" s="12">
        <v>9000</v>
      </c>
      <c r="H60" s="12">
        <v>7</v>
      </c>
      <c r="I60" s="12">
        <f>G60*H60</f>
        <v>63000</v>
      </c>
      <c r="J60" s="12"/>
      <c r="K60" s="12">
        <v>88500</v>
      </c>
      <c r="L60" s="12"/>
      <c r="M60" s="12"/>
      <c r="N60" s="12"/>
      <c r="O60" s="12">
        <v>35000</v>
      </c>
      <c r="P60" s="12">
        <f t="shared" si="0"/>
        <v>208200</v>
      </c>
      <c r="Q60" s="574"/>
    </row>
    <row r="61" spans="1:17" ht="67.5" customHeight="1">
      <c r="A61" s="19"/>
      <c r="B61" s="25" t="s">
        <v>35</v>
      </c>
      <c r="C61" s="575"/>
      <c r="D61" s="24">
        <v>3100</v>
      </c>
      <c r="E61" s="24">
        <v>7</v>
      </c>
      <c r="F61" s="24">
        <f>D61*E61</f>
        <v>21700</v>
      </c>
      <c r="G61" s="24">
        <v>9000</v>
      </c>
      <c r="H61" s="24">
        <v>7</v>
      </c>
      <c r="I61" s="24">
        <f>G61*H61</f>
        <v>63000</v>
      </c>
      <c r="J61" s="24"/>
      <c r="K61" s="24">
        <v>88500</v>
      </c>
      <c r="L61" s="24"/>
      <c r="M61" s="24"/>
      <c r="N61" s="24"/>
      <c r="O61" s="24">
        <v>35000</v>
      </c>
      <c r="P61" s="24">
        <f t="shared" si="0"/>
        <v>208200</v>
      </c>
      <c r="Q61" s="575"/>
    </row>
    <row r="62" spans="1:17" ht="30" customHeight="1">
      <c r="A62" s="57">
        <v>4</v>
      </c>
      <c r="B62" s="68" t="s">
        <v>44</v>
      </c>
      <c r="C62" s="6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6">
        <f>SUM(P63,P66,P71,P73)</f>
        <v>3506920</v>
      </c>
      <c r="Q62" s="72"/>
    </row>
    <row r="63" spans="1:17" ht="57" customHeight="1">
      <c r="A63" s="36">
        <v>1</v>
      </c>
      <c r="B63" s="76" t="s">
        <v>45</v>
      </c>
      <c r="C63" s="576" t="s">
        <v>46</v>
      </c>
      <c r="D63" s="17"/>
      <c r="E63" s="17"/>
      <c r="F63" s="17">
        <f>SUM(F64:F65)</f>
        <v>36000</v>
      </c>
      <c r="G63" s="17"/>
      <c r="H63" s="17"/>
      <c r="I63" s="17">
        <f>SUM(I64:I65)</f>
        <v>60000</v>
      </c>
      <c r="J63" s="17"/>
      <c r="K63" s="17">
        <f>SUM(K64:K65)</f>
        <v>126240</v>
      </c>
      <c r="L63" s="17"/>
      <c r="M63" s="17"/>
      <c r="N63" s="17"/>
      <c r="O63" s="17">
        <f>SUM(O64:O65)</f>
        <v>60000</v>
      </c>
      <c r="P63" s="16">
        <f t="shared" ref="P63:P80" si="3">SUM(F63,I63,J63:O63)</f>
        <v>282240</v>
      </c>
      <c r="Q63" s="576" t="s">
        <v>49</v>
      </c>
    </row>
    <row r="64" spans="1:17" ht="57" customHeight="1">
      <c r="A64" s="29"/>
      <c r="B64" s="22" t="s">
        <v>47</v>
      </c>
      <c r="C64" s="574"/>
      <c r="D64" s="12">
        <v>4500</v>
      </c>
      <c r="E64" s="12">
        <v>4</v>
      </c>
      <c r="F64" s="12">
        <f>D64*E64</f>
        <v>18000</v>
      </c>
      <c r="G64" s="12">
        <v>7500</v>
      </c>
      <c r="H64" s="12">
        <v>4</v>
      </c>
      <c r="I64" s="12">
        <f>G64*H64</f>
        <v>30000</v>
      </c>
      <c r="J64" s="12"/>
      <c r="K64" s="12">
        <v>63120</v>
      </c>
      <c r="L64" s="12"/>
      <c r="M64" s="12"/>
      <c r="N64" s="12"/>
      <c r="O64" s="12">
        <v>30000</v>
      </c>
      <c r="P64" s="12">
        <f t="shared" si="3"/>
        <v>141120</v>
      </c>
      <c r="Q64" s="574"/>
    </row>
    <row r="65" spans="1:17" ht="63.75" customHeight="1">
      <c r="A65" s="30"/>
      <c r="B65" s="25" t="s">
        <v>48</v>
      </c>
      <c r="C65" s="575"/>
      <c r="D65" s="24">
        <v>4500</v>
      </c>
      <c r="E65" s="24">
        <v>4</v>
      </c>
      <c r="F65" s="24">
        <f>D65*E65</f>
        <v>18000</v>
      </c>
      <c r="G65" s="24">
        <v>7500</v>
      </c>
      <c r="H65" s="24">
        <v>4</v>
      </c>
      <c r="I65" s="24">
        <f>G65*H65</f>
        <v>30000</v>
      </c>
      <c r="J65" s="24"/>
      <c r="K65" s="24">
        <v>63120</v>
      </c>
      <c r="L65" s="24"/>
      <c r="M65" s="24"/>
      <c r="N65" s="24"/>
      <c r="O65" s="24">
        <v>30000</v>
      </c>
      <c r="P65" s="24">
        <f t="shared" si="3"/>
        <v>141120</v>
      </c>
      <c r="Q65" s="575"/>
    </row>
    <row r="66" spans="1:17" ht="201" customHeight="1">
      <c r="A66" s="36">
        <v>2</v>
      </c>
      <c r="B66" s="74" t="s">
        <v>50</v>
      </c>
      <c r="C66" s="70" t="s">
        <v>51</v>
      </c>
      <c r="D66" s="34"/>
      <c r="E66" s="34"/>
      <c r="F66" s="34">
        <f>SUM(F67:F70)</f>
        <v>136800</v>
      </c>
      <c r="G66" s="34"/>
      <c r="H66" s="34"/>
      <c r="I66" s="34">
        <f>SUM(I67:I70)</f>
        <v>262500</v>
      </c>
      <c r="J66" s="34"/>
      <c r="K66" s="34">
        <f>SUM(K67:K70)</f>
        <v>402400</v>
      </c>
      <c r="L66" s="34"/>
      <c r="M66" s="34">
        <f>SUM(M67:M70)</f>
        <v>4000</v>
      </c>
      <c r="N66" s="34"/>
      <c r="O66" s="34">
        <f>SUM(O67:O70)</f>
        <v>44580</v>
      </c>
      <c r="P66" s="35">
        <f t="shared" si="3"/>
        <v>850280</v>
      </c>
      <c r="Q66" s="577" t="s">
        <v>54</v>
      </c>
    </row>
    <row r="67" spans="1:17" ht="120.75" customHeight="1">
      <c r="A67" s="77"/>
      <c r="B67" s="75" t="s">
        <v>121</v>
      </c>
      <c r="C67" s="70"/>
      <c r="D67" s="20">
        <v>3100</v>
      </c>
      <c r="E67" s="20">
        <v>12</v>
      </c>
      <c r="F67" s="20">
        <f>D67*E67</f>
        <v>37200</v>
      </c>
      <c r="G67" s="20">
        <v>10000</v>
      </c>
      <c r="H67" s="20">
        <v>7</v>
      </c>
      <c r="I67" s="20">
        <f>G67*H67</f>
        <v>70000</v>
      </c>
      <c r="J67" s="20"/>
      <c r="K67" s="20">
        <v>123400</v>
      </c>
      <c r="L67" s="20"/>
      <c r="M67" s="20">
        <v>1000</v>
      </c>
      <c r="N67" s="20"/>
      <c r="O67" s="20"/>
      <c r="P67" s="20">
        <f t="shared" si="3"/>
        <v>231600</v>
      </c>
      <c r="Q67" s="578"/>
    </row>
    <row r="68" spans="1:17" ht="105.75" customHeight="1">
      <c r="A68" s="77"/>
      <c r="B68" s="75" t="s">
        <v>33</v>
      </c>
      <c r="C68" s="70"/>
      <c r="D68" s="20">
        <v>3100</v>
      </c>
      <c r="E68" s="20">
        <v>12</v>
      </c>
      <c r="F68" s="20">
        <f>D68*E68</f>
        <v>37200</v>
      </c>
      <c r="G68" s="20">
        <v>10000</v>
      </c>
      <c r="H68" s="20">
        <v>7</v>
      </c>
      <c r="I68" s="20">
        <f>G68*H68</f>
        <v>70000</v>
      </c>
      <c r="J68" s="20"/>
      <c r="K68" s="20">
        <v>93000</v>
      </c>
      <c r="L68" s="20"/>
      <c r="M68" s="20">
        <v>1000</v>
      </c>
      <c r="N68" s="20"/>
      <c r="O68" s="20"/>
      <c r="P68" s="20">
        <f t="shared" si="3"/>
        <v>201200</v>
      </c>
      <c r="Q68" s="578"/>
    </row>
    <row r="69" spans="1:17" ht="199.5" customHeight="1">
      <c r="A69" s="77"/>
      <c r="B69" s="75" t="s">
        <v>52</v>
      </c>
      <c r="C69" s="70"/>
      <c r="D69" s="20">
        <v>3100</v>
      </c>
      <c r="E69" s="20">
        <v>12</v>
      </c>
      <c r="F69" s="20">
        <f>D69*E69</f>
        <v>37200</v>
      </c>
      <c r="G69" s="20">
        <v>10000</v>
      </c>
      <c r="H69" s="20">
        <v>7</v>
      </c>
      <c r="I69" s="20">
        <f>G69*H69</f>
        <v>70000</v>
      </c>
      <c r="J69" s="20"/>
      <c r="K69" s="20">
        <v>93000</v>
      </c>
      <c r="L69" s="20"/>
      <c r="M69" s="20">
        <v>1000</v>
      </c>
      <c r="N69" s="20"/>
      <c r="O69" s="20">
        <v>4620</v>
      </c>
      <c r="P69" s="20">
        <f t="shared" si="3"/>
        <v>205820</v>
      </c>
      <c r="Q69" s="578" t="s">
        <v>55</v>
      </c>
    </row>
    <row r="70" spans="1:17" ht="162" customHeight="1">
      <c r="A70" s="78"/>
      <c r="B70" s="79" t="s">
        <v>53</v>
      </c>
      <c r="C70" s="71"/>
      <c r="D70" s="80">
        <v>2100</v>
      </c>
      <c r="E70" s="80">
        <v>12</v>
      </c>
      <c r="F70" s="80">
        <f>D70*E70</f>
        <v>25200</v>
      </c>
      <c r="G70" s="80">
        <v>7500</v>
      </c>
      <c r="H70" s="80">
        <v>7</v>
      </c>
      <c r="I70" s="80">
        <f>G70*H70</f>
        <v>52500</v>
      </c>
      <c r="J70" s="80"/>
      <c r="K70" s="80">
        <v>93000</v>
      </c>
      <c r="L70" s="80"/>
      <c r="M70" s="80">
        <v>1000</v>
      </c>
      <c r="N70" s="80"/>
      <c r="O70" s="80">
        <v>39960</v>
      </c>
      <c r="P70" s="80">
        <f t="shared" si="3"/>
        <v>211660</v>
      </c>
      <c r="Q70" s="579"/>
    </row>
    <row r="71" spans="1:17" ht="136.5" customHeight="1">
      <c r="A71" s="81">
        <v>3</v>
      </c>
      <c r="B71" s="74" t="s">
        <v>56</v>
      </c>
      <c r="C71" s="564" t="s">
        <v>57</v>
      </c>
      <c r="D71" s="34"/>
      <c r="E71" s="34"/>
      <c r="F71" s="34">
        <f>SUM(F72)</f>
        <v>48300</v>
      </c>
      <c r="G71" s="34"/>
      <c r="H71" s="34"/>
      <c r="I71" s="34">
        <f>SUM(I72)</f>
        <v>27000</v>
      </c>
      <c r="J71" s="34"/>
      <c r="K71" s="34">
        <f>SUM(K72)</f>
        <v>90000</v>
      </c>
      <c r="L71" s="34"/>
      <c r="M71" s="34"/>
      <c r="N71" s="34"/>
      <c r="O71" s="34">
        <f>SUM(O72)</f>
        <v>72000</v>
      </c>
      <c r="P71" s="35">
        <f t="shared" si="3"/>
        <v>237300</v>
      </c>
      <c r="Q71" s="577" t="s">
        <v>60</v>
      </c>
    </row>
    <row r="72" spans="1:17" ht="117.75" customHeight="1">
      <c r="A72" s="64"/>
      <c r="B72" s="22" t="s">
        <v>58</v>
      </c>
      <c r="C72" s="573"/>
      <c r="D72" s="12">
        <v>2100</v>
      </c>
      <c r="E72" s="12">
        <v>23</v>
      </c>
      <c r="F72" s="12">
        <f>D72*E72</f>
        <v>48300</v>
      </c>
      <c r="G72" s="12" t="s">
        <v>59</v>
      </c>
      <c r="H72" s="12">
        <v>22</v>
      </c>
      <c r="I72" s="12">
        <v>27000</v>
      </c>
      <c r="J72" s="12"/>
      <c r="K72" s="12">
        <v>90000</v>
      </c>
      <c r="L72" s="12"/>
      <c r="M72" s="12"/>
      <c r="N72" s="12"/>
      <c r="O72" s="12">
        <v>72000</v>
      </c>
      <c r="P72" s="12">
        <f t="shared" si="3"/>
        <v>237300</v>
      </c>
      <c r="Q72" s="581"/>
    </row>
    <row r="73" spans="1:17" ht="179.25" customHeight="1">
      <c r="A73" s="73">
        <v>4</v>
      </c>
      <c r="B73" s="82" t="s">
        <v>50</v>
      </c>
      <c r="C73" s="564" t="s">
        <v>61</v>
      </c>
      <c r="D73" s="83"/>
      <c r="E73" s="83"/>
      <c r="F73" s="83">
        <f>SUM(F74:F80)</f>
        <v>347200</v>
      </c>
      <c r="G73" s="83"/>
      <c r="H73" s="83"/>
      <c r="I73" s="83">
        <f>SUM(I74:I80)</f>
        <v>1050000</v>
      </c>
      <c r="J73" s="83"/>
      <c r="K73" s="83">
        <f>SUM(K74:K81)</f>
        <v>651000</v>
      </c>
      <c r="L73" s="83"/>
      <c r="M73" s="83">
        <f>SUM(M74:M80)</f>
        <v>7000</v>
      </c>
      <c r="N73" s="83"/>
      <c r="O73" s="83">
        <f>SUM(O74:O80)</f>
        <v>81900</v>
      </c>
      <c r="P73" s="84">
        <f t="shared" si="3"/>
        <v>2137100</v>
      </c>
      <c r="Q73" s="580" t="s">
        <v>63</v>
      </c>
    </row>
    <row r="74" spans="1:17" ht="70.5" customHeight="1">
      <c r="A74" s="21"/>
      <c r="B74" s="22" t="s">
        <v>64</v>
      </c>
      <c r="C74" s="571"/>
      <c r="D74" s="12">
        <v>3100</v>
      </c>
      <c r="E74" s="12">
        <v>16</v>
      </c>
      <c r="F74" s="12">
        <f t="shared" ref="F74:F80" si="4">D74*E74</f>
        <v>49600</v>
      </c>
      <c r="G74" s="12">
        <v>10000</v>
      </c>
      <c r="H74" s="12">
        <v>15</v>
      </c>
      <c r="I74" s="12">
        <f t="shared" ref="I74:I80" si="5">G74*H74</f>
        <v>150000</v>
      </c>
      <c r="J74" s="12"/>
      <c r="K74" s="12">
        <v>93000</v>
      </c>
      <c r="L74" s="12"/>
      <c r="M74" s="12">
        <v>1000</v>
      </c>
      <c r="N74" s="12"/>
      <c r="O74" s="12">
        <v>11700</v>
      </c>
      <c r="P74" s="12">
        <f t="shared" si="3"/>
        <v>305300</v>
      </c>
      <c r="Q74" s="578"/>
    </row>
    <row r="75" spans="1:17" ht="70.5" customHeight="1">
      <c r="A75" s="21"/>
      <c r="B75" s="22" t="s">
        <v>65</v>
      </c>
      <c r="C75" s="571"/>
      <c r="D75" s="12">
        <v>3100</v>
      </c>
      <c r="E75" s="12">
        <v>16</v>
      </c>
      <c r="F75" s="12">
        <f t="shared" si="4"/>
        <v>49600</v>
      </c>
      <c r="G75" s="12">
        <v>10000</v>
      </c>
      <c r="H75" s="12">
        <v>15</v>
      </c>
      <c r="I75" s="12">
        <f t="shared" si="5"/>
        <v>150000</v>
      </c>
      <c r="J75" s="12"/>
      <c r="K75" s="12">
        <v>93000</v>
      </c>
      <c r="L75" s="12"/>
      <c r="M75" s="12">
        <v>1000</v>
      </c>
      <c r="N75" s="12"/>
      <c r="O75" s="12">
        <v>11700</v>
      </c>
      <c r="P75" s="12">
        <f t="shared" si="3"/>
        <v>305300</v>
      </c>
      <c r="Q75" s="578"/>
    </row>
    <row r="76" spans="1:17" ht="70.5" customHeight="1">
      <c r="A76" s="21"/>
      <c r="B76" s="22" t="s">
        <v>66</v>
      </c>
      <c r="C76" s="571"/>
      <c r="D76" s="12">
        <v>3100</v>
      </c>
      <c r="E76" s="12">
        <v>16</v>
      </c>
      <c r="F76" s="12">
        <f t="shared" si="4"/>
        <v>49600</v>
      </c>
      <c r="G76" s="12">
        <v>10000</v>
      </c>
      <c r="H76" s="12">
        <v>15</v>
      </c>
      <c r="I76" s="12">
        <f t="shared" si="5"/>
        <v>150000</v>
      </c>
      <c r="J76" s="12"/>
      <c r="K76" s="12">
        <v>93000</v>
      </c>
      <c r="L76" s="12"/>
      <c r="M76" s="12">
        <v>1000</v>
      </c>
      <c r="N76" s="12"/>
      <c r="O76" s="12">
        <v>11700</v>
      </c>
      <c r="P76" s="12">
        <f t="shared" si="3"/>
        <v>305300</v>
      </c>
      <c r="Q76" s="578"/>
    </row>
    <row r="77" spans="1:17" ht="70.5" customHeight="1">
      <c r="A77" s="21"/>
      <c r="B77" s="22" t="s">
        <v>67</v>
      </c>
      <c r="C77" s="573"/>
      <c r="D77" s="12">
        <v>3100</v>
      </c>
      <c r="E77" s="12">
        <v>16</v>
      </c>
      <c r="F77" s="12">
        <f t="shared" si="4"/>
        <v>49600</v>
      </c>
      <c r="G77" s="12">
        <v>10000</v>
      </c>
      <c r="H77" s="12">
        <v>15</v>
      </c>
      <c r="I77" s="12">
        <f t="shared" si="5"/>
        <v>150000</v>
      </c>
      <c r="J77" s="12"/>
      <c r="K77" s="12">
        <v>93000</v>
      </c>
      <c r="L77" s="12"/>
      <c r="M77" s="12">
        <v>1000</v>
      </c>
      <c r="N77" s="12"/>
      <c r="O77" s="12">
        <v>11700</v>
      </c>
      <c r="P77" s="12">
        <f t="shared" si="3"/>
        <v>305300</v>
      </c>
      <c r="Q77" s="578"/>
    </row>
    <row r="78" spans="1:17" ht="70.5" customHeight="1">
      <c r="A78" s="21"/>
      <c r="B78" s="22" t="s">
        <v>68</v>
      </c>
      <c r="C78" s="46"/>
      <c r="D78" s="12">
        <v>3100</v>
      </c>
      <c r="E78" s="12">
        <v>16</v>
      </c>
      <c r="F78" s="12">
        <f t="shared" si="4"/>
        <v>49600</v>
      </c>
      <c r="G78" s="12">
        <v>10000</v>
      </c>
      <c r="H78" s="12">
        <v>15</v>
      </c>
      <c r="I78" s="12">
        <f t="shared" si="5"/>
        <v>150000</v>
      </c>
      <c r="J78" s="12"/>
      <c r="K78" s="12">
        <v>93000</v>
      </c>
      <c r="L78" s="12"/>
      <c r="M78" s="12">
        <v>1000</v>
      </c>
      <c r="N78" s="12"/>
      <c r="O78" s="12">
        <v>11700</v>
      </c>
      <c r="P78" s="12">
        <f t="shared" si="3"/>
        <v>305300</v>
      </c>
      <c r="Q78" s="578"/>
    </row>
    <row r="79" spans="1:17" ht="70.5" customHeight="1">
      <c r="A79" s="21"/>
      <c r="B79" s="22" t="s">
        <v>69</v>
      </c>
      <c r="C79" s="46"/>
      <c r="D79" s="12">
        <v>3100</v>
      </c>
      <c r="E79" s="12">
        <v>16</v>
      </c>
      <c r="F79" s="12">
        <f t="shared" si="4"/>
        <v>49600</v>
      </c>
      <c r="G79" s="12">
        <v>10000</v>
      </c>
      <c r="H79" s="12">
        <v>15</v>
      </c>
      <c r="I79" s="12">
        <f t="shared" si="5"/>
        <v>150000</v>
      </c>
      <c r="J79" s="12"/>
      <c r="K79" s="12">
        <v>93000</v>
      </c>
      <c r="L79" s="12"/>
      <c r="M79" s="12">
        <v>1000</v>
      </c>
      <c r="N79" s="12"/>
      <c r="O79" s="12">
        <v>11700</v>
      </c>
      <c r="P79" s="12">
        <f t="shared" si="3"/>
        <v>305300</v>
      </c>
      <c r="Q79" s="578"/>
    </row>
    <row r="80" spans="1:17" ht="57.75" customHeight="1">
      <c r="A80" s="21"/>
      <c r="B80" s="22" t="s">
        <v>70</v>
      </c>
      <c r="C80" s="46"/>
      <c r="D80" s="12">
        <v>3100</v>
      </c>
      <c r="E80" s="12">
        <v>16</v>
      </c>
      <c r="F80" s="12">
        <f t="shared" si="4"/>
        <v>49600</v>
      </c>
      <c r="G80" s="12">
        <v>10000</v>
      </c>
      <c r="H80" s="12">
        <v>15</v>
      </c>
      <c r="I80" s="12">
        <f t="shared" si="5"/>
        <v>150000</v>
      </c>
      <c r="J80" s="12"/>
      <c r="K80" s="12">
        <v>93000</v>
      </c>
      <c r="L80" s="12"/>
      <c r="M80" s="12">
        <v>1000</v>
      </c>
      <c r="N80" s="12"/>
      <c r="O80" s="12">
        <v>11700</v>
      </c>
      <c r="P80" s="12">
        <f t="shared" si="3"/>
        <v>305300</v>
      </c>
      <c r="Q80" s="571" t="s">
        <v>62</v>
      </c>
    </row>
    <row r="81" spans="1:17" ht="57.75" customHeight="1">
      <c r="A81" s="21"/>
      <c r="B81" s="22" t="s">
        <v>71</v>
      </c>
      <c r="C81" s="46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573"/>
    </row>
    <row r="82" spans="1:17">
      <c r="A82" s="57">
        <v>2</v>
      </c>
      <c r="B82" s="68" t="s">
        <v>73</v>
      </c>
      <c r="C82" s="6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6">
        <f>SUM(P83,P86)</f>
        <v>312000</v>
      </c>
      <c r="Q82" s="10"/>
    </row>
    <row r="83" spans="1:17" ht="90.75" customHeight="1">
      <c r="A83" s="81">
        <v>1</v>
      </c>
      <c r="B83" s="76" t="s">
        <v>72</v>
      </c>
      <c r="C83" s="564" t="s">
        <v>74</v>
      </c>
      <c r="D83" s="17"/>
      <c r="E83" s="17"/>
      <c r="F83" s="17">
        <f>SUM(F84:F85)</f>
        <v>46200</v>
      </c>
      <c r="G83" s="17"/>
      <c r="H83" s="17"/>
      <c r="I83" s="17">
        <f>SUM(I84:I85)</f>
        <v>150000</v>
      </c>
      <c r="J83" s="17"/>
      <c r="K83" s="17">
        <f>SUM(K84:K85)</f>
        <v>110000</v>
      </c>
      <c r="L83" s="17"/>
      <c r="M83" s="17"/>
      <c r="N83" s="17"/>
      <c r="O83" s="17">
        <f>SUM(O84:O85)</f>
        <v>5800</v>
      </c>
      <c r="P83" s="16">
        <f>SUM(F83,I83,J83:O83)</f>
        <v>312000</v>
      </c>
      <c r="Q83" s="577" t="s">
        <v>75</v>
      </c>
    </row>
    <row r="84" spans="1:17" ht="90.75" customHeight="1">
      <c r="A84" s="63"/>
      <c r="B84" s="22" t="s">
        <v>76</v>
      </c>
      <c r="C84" s="571"/>
      <c r="D84" s="12">
        <v>2100</v>
      </c>
      <c r="E84" s="12">
        <v>11</v>
      </c>
      <c r="F84" s="12">
        <f>D84*E84</f>
        <v>23100</v>
      </c>
      <c r="G84" s="12">
        <v>7500</v>
      </c>
      <c r="H84" s="12">
        <v>10</v>
      </c>
      <c r="I84" s="12">
        <f>G84*H84</f>
        <v>75000</v>
      </c>
      <c r="J84" s="12"/>
      <c r="K84" s="12">
        <v>55000</v>
      </c>
      <c r="L84" s="12"/>
      <c r="M84" s="12"/>
      <c r="N84" s="12"/>
      <c r="O84" s="12">
        <v>2900</v>
      </c>
      <c r="P84" s="12">
        <f>SUM(F84,I84,J84:O84)</f>
        <v>156000</v>
      </c>
      <c r="Q84" s="578"/>
    </row>
    <row r="85" spans="1:17" ht="90.75" customHeight="1">
      <c r="A85" s="64"/>
      <c r="B85" s="25" t="s">
        <v>77</v>
      </c>
      <c r="C85" s="572"/>
      <c r="D85" s="24">
        <v>2100</v>
      </c>
      <c r="E85" s="24">
        <v>11</v>
      </c>
      <c r="F85" s="24">
        <f>D85*E85</f>
        <v>23100</v>
      </c>
      <c r="G85" s="24">
        <v>7500</v>
      </c>
      <c r="H85" s="24">
        <v>10</v>
      </c>
      <c r="I85" s="24">
        <f>G85*H85</f>
        <v>75000</v>
      </c>
      <c r="J85" s="24"/>
      <c r="K85" s="24">
        <v>55000</v>
      </c>
      <c r="L85" s="24"/>
      <c r="M85" s="24"/>
      <c r="N85" s="24"/>
      <c r="O85" s="24">
        <v>2900</v>
      </c>
      <c r="P85" s="24">
        <f>SUM(F85,I85,J85:O85)</f>
        <v>156000</v>
      </c>
      <c r="Q85" s="579"/>
    </row>
    <row r="86" spans="1:17" ht="23">
      <c r="A86" s="32"/>
      <c r="B86" s="47"/>
      <c r="C86" s="7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70"/>
    </row>
    <row r="87" spans="1:17" ht="23">
      <c r="A87" s="21"/>
      <c r="B87" s="45"/>
      <c r="C87" s="46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6"/>
    </row>
    <row r="88" spans="1:17" ht="23">
      <c r="A88" s="21"/>
      <c r="B88" s="45"/>
      <c r="C88" s="46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6"/>
    </row>
    <row r="89" spans="1:17" ht="23">
      <c r="A89" s="21"/>
      <c r="B89" s="45"/>
      <c r="C89" s="46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6"/>
    </row>
    <row r="90" spans="1:17" ht="23">
      <c r="A90" s="21"/>
      <c r="B90" s="45"/>
      <c r="C90" s="46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6"/>
    </row>
    <row r="91" spans="1:17" ht="23">
      <c r="A91" s="21"/>
      <c r="B91" s="45"/>
      <c r="C91" s="46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6"/>
    </row>
    <row r="92" spans="1:17" ht="23">
      <c r="A92" s="21"/>
      <c r="B92" s="45"/>
      <c r="C92" s="46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6"/>
    </row>
    <row r="93" spans="1:17" ht="23">
      <c r="A93" s="21"/>
      <c r="B93" s="45"/>
      <c r="C93" s="46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6"/>
    </row>
    <row r="94" spans="1:17" ht="23">
      <c r="A94" s="21"/>
      <c r="B94" s="45"/>
      <c r="C94" s="46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6"/>
    </row>
    <row r="95" spans="1:17" ht="23">
      <c r="A95" s="21"/>
      <c r="B95" s="45"/>
      <c r="C95" s="46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6"/>
    </row>
    <row r="96" spans="1:17">
      <c r="A96" s="21"/>
      <c r="B96" s="11"/>
      <c r="C96" s="11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1"/>
    </row>
    <row r="97" spans="1:17">
      <c r="A97" s="21"/>
      <c r="B97" s="11"/>
      <c r="C97" s="11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"/>
    </row>
    <row r="98" spans="1:17">
      <c r="A98" s="21"/>
      <c r="B98" s="11"/>
      <c r="C98" s="11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"/>
    </row>
    <row r="99" spans="1:17">
      <c r="A99" s="21"/>
      <c r="B99" s="11"/>
      <c r="C99" s="11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1"/>
    </row>
    <row r="100" spans="1:17">
      <c r="A100" s="21"/>
      <c r="B100" s="11"/>
      <c r="C100" s="11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1"/>
    </row>
    <row r="101" spans="1:17">
      <c r="A101" s="67"/>
      <c r="B101" s="13"/>
      <c r="C101" s="13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3"/>
    </row>
    <row r="102" spans="1:17" ht="41">
      <c r="A102" s="57">
        <v>1</v>
      </c>
      <c r="B102" s="68" t="s">
        <v>41</v>
      </c>
      <c r="C102" s="6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6">
        <f>SUM(P103)</f>
        <v>147200</v>
      </c>
      <c r="Q102" s="10"/>
    </row>
    <row r="103" spans="1:17" ht="30" customHeight="1">
      <c r="A103" s="36">
        <v>1</v>
      </c>
      <c r="B103" s="7" t="s">
        <v>37</v>
      </c>
      <c r="C103" s="576" t="s">
        <v>38</v>
      </c>
      <c r="D103" s="17"/>
      <c r="E103" s="17"/>
      <c r="F103" s="17">
        <f>SUM(F104:F105)</f>
        <v>21000</v>
      </c>
      <c r="G103" s="17"/>
      <c r="H103" s="17"/>
      <c r="I103" s="17">
        <f>SUM(I104:I105)</f>
        <v>36000</v>
      </c>
      <c r="J103" s="17"/>
      <c r="K103" s="17">
        <f>SUM(K104:K105)</f>
        <v>80200</v>
      </c>
      <c r="L103" s="17"/>
      <c r="M103" s="17"/>
      <c r="N103" s="17"/>
      <c r="O103" s="17">
        <f>SUM(O104:O105)</f>
        <v>10000</v>
      </c>
      <c r="P103" s="17">
        <f>SUM(F103,I103,J103:O103)</f>
        <v>147200</v>
      </c>
      <c r="Q103" s="576" t="s">
        <v>39</v>
      </c>
    </row>
    <row r="104" spans="1:17" ht="52.5" customHeight="1">
      <c r="A104" s="18"/>
      <c r="B104" s="65" t="s">
        <v>42</v>
      </c>
      <c r="C104" s="574"/>
      <c r="D104" s="12">
        <v>2100</v>
      </c>
      <c r="E104" s="12">
        <v>5</v>
      </c>
      <c r="F104" s="12">
        <f>D104*E104</f>
        <v>10500</v>
      </c>
      <c r="G104" s="12">
        <v>4500</v>
      </c>
      <c r="H104" s="12">
        <v>4</v>
      </c>
      <c r="I104" s="12">
        <f>G104*H104</f>
        <v>18000</v>
      </c>
      <c r="J104" s="12"/>
      <c r="K104" s="12">
        <v>40100</v>
      </c>
      <c r="L104" s="12"/>
      <c r="M104" s="12"/>
      <c r="N104" s="12"/>
      <c r="O104" s="12">
        <v>5000</v>
      </c>
      <c r="P104" s="12">
        <f>SUM(F104,I104,J104:O104)</f>
        <v>73600</v>
      </c>
      <c r="Q104" s="574"/>
    </row>
    <row r="105" spans="1:17" ht="82.5" customHeight="1">
      <c r="A105" s="19"/>
      <c r="B105" s="66" t="s">
        <v>40</v>
      </c>
      <c r="C105" s="575"/>
      <c r="D105" s="24">
        <v>2100</v>
      </c>
      <c r="E105" s="24">
        <v>5</v>
      </c>
      <c r="F105" s="24">
        <f>D105*E105</f>
        <v>10500</v>
      </c>
      <c r="G105" s="24">
        <v>4500</v>
      </c>
      <c r="H105" s="24">
        <v>4</v>
      </c>
      <c r="I105" s="24">
        <f>G105*H105</f>
        <v>18000</v>
      </c>
      <c r="J105" s="24"/>
      <c r="K105" s="24">
        <v>40100</v>
      </c>
      <c r="L105" s="24"/>
      <c r="M105" s="24"/>
      <c r="N105" s="24"/>
      <c r="O105" s="24">
        <v>5000</v>
      </c>
      <c r="P105" s="24">
        <f>SUM(F105,I105,J105:O105)</f>
        <v>73600</v>
      </c>
      <c r="Q105" s="575"/>
    </row>
  </sheetData>
  <mergeCells count="53">
    <mergeCell ref="Q103:Q105"/>
    <mergeCell ref="C103:C105"/>
    <mergeCell ref="Q46:Q56"/>
    <mergeCell ref="C46:C56"/>
    <mergeCell ref="Q57:Q61"/>
    <mergeCell ref="C57:C61"/>
    <mergeCell ref="C63:C65"/>
    <mergeCell ref="Q63:Q65"/>
    <mergeCell ref="Q66:Q68"/>
    <mergeCell ref="Q69:Q70"/>
    <mergeCell ref="Q42:Q45"/>
    <mergeCell ref="C42:C45"/>
    <mergeCell ref="Q83:Q85"/>
    <mergeCell ref="C83:C85"/>
    <mergeCell ref="C73:C77"/>
    <mergeCell ref="Q73:Q79"/>
    <mergeCell ref="Q80:Q81"/>
    <mergeCell ref="Q71:Q72"/>
    <mergeCell ref="C71:C72"/>
    <mergeCell ref="Q32:Q34"/>
    <mergeCell ref="C32:C34"/>
    <mergeCell ref="Q37:Q39"/>
    <mergeCell ref="C37:C39"/>
    <mergeCell ref="C26:C28"/>
    <mergeCell ref="Q26:Q28"/>
    <mergeCell ref="C29:C30"/>
    <mergeCell ref="Q29:Q30"/>
    <mergeCell ref="C12:C16"/>
    <mergeCell ref="Q18:Q20"/>
    <mergeCell ref="C18:C20"/>
    <mergeCell ref="Q22:Q24"/>
    <mergeCell ref="C22:C24"/>
    <mergeCell ref="Q12:Q16"/>
    <mergeCell ref="A8:A10"/>
    <mergeCell ref="C8:C10"/>
    <mergeCell ref="Q8:Q10"/>
    <mergeCell ref="P4:P6"/>
    <mergeCell ref="A4:A6"/>
    <mergeCell ref="B4:B6"/>
    <mergeCell ref="Q4:Q6"/>
    <mergeCell ref="N5:N6"/>
    <mergeCell ref="O5:O6"/>
    <mergeCell ref="C4:C6"/>
    <mergeCell ref="A1:Q1"/>
    <mergeCell ref="A3:C3"/>
    <mergeCell ref="P3:Q3"/>
    <mergeCell ref="D4:F5"/>
    <mergeCell ref="G4:I5"/>
    <mergeCell ref="J4:O4"/>
    <mergeCell ref="J5:J6"/>
    <mergeCell ref="K5:K6"/>
    <mergeCell ref="L5:L6"/>
    <mergeCell ref="M5:M6"/>
  </mergeCells>
  <phoneticPr fontId="17" type="noConversion"/>
  <pageMargins left="0.39370078740157483" right="0.39370078740157483" top="0.39370078740157483" bottom="0.39370078740157483" header="0.11811023622047245" footer="0.11811023622047245"/>
  <pageSetup paperSize="9" scale="7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"/>
  <sheetViews>
    <sheetView view="pageBreakPreview" zoomScale="90" zoomScaleNormal="100" zoomScaleSheetLayoutView="90" zoomScalePageLayoutView="85" workbookViewId="0">
      <selection activeCell="K4" sqref="K4"/>
    </sheetView>
  </sheetViews>
  <sheetFormatPr defaultColWidth="9" defaultRowHeight="18"/>
  <cols>
    <col min="1" max="1" width="5.83203125" style="293" customWidth="1"/>
    <col min="2" max="2" width="14" style="293" customWidth="1"/>
    <col min="3" max="4" width="15.75" style="293" customWidth="1"/>
    <col min="5" max="5" width="27.5" style="293" customWidth="1"/>
    <col min="6" max="6" width="13.25" style="293" customWidth="1"/>
    <col min="7" max="7" width="10.58203125" style="293" customWidth="1"/>
    <col min="8" max="8" width="12" style="293" customWidth="1"/>
    <col min="9" max="9" width="12" style="295" customWidth="1"/>
    <col min="10" max="10" width="15" style="295" customWidth="1"/>
    <col min="11" max="11" width="18.33203125" style="290" customWidth="1"/>
    <col min="12" max="12" width="9" style="290" customWidth="1"/>
    <col min="13" max="16384" width="9" style="290"/>
  </cols>
  <sheetData>
    <row r="1" spans="1:11" ht="76.5" customHeight="1">
      <c r="A1" s="582" t="s">
        <v>511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</row>
    <row r="2" spans="1:11" ht="41">
      <c r="A2" s="444" t="s">
        <v>80</v>
      </c>
      <c r="B2" s="518" t="s">
        <v>514</v>
      </c>
      <c r="C2" s="518" t="s">
        <v>513</v>
      </c>
      <c r="D2" s="518" t="s">
        <v>512</v>
      </c>
      <c r="E2" s="444" t="s">
        <v>139</v>
      </c>
      <c r="F2" s="444" t="s">
        <v>81</v>
      </c>
      <c r="G2" s="444" t="s">
        <v>82</v>
      </c>
      <c r="H2" s="444" t="s">
        <v>138</v>
      </c>
      <c r="I2" s="460" t="s">
        <v>145</v>
      </c>
      <c r="J2" s="445" t="s">
        <v>142</v>
      </c>
      <c r="K2" s="446" t="s">
        <v>148</v>
      </c>
    </row>
    <row r="3" spans="1:11" ht="20.5">
      <c r="A3" s="591" t="s">
        <v>302</v>
      </c>
      <c r="B3" s="592"/>
      <c r="C3" s="592"/>
      <c r="D3" s="592"/>
      <c r="E3" s="593"/>
      <c r="F3" s="593"/>
      <c r="G3" s="593"/>
      <c r="H3" s="593"/>
      <c r="I3" s="593"/>
      <c r="J3" s="447"/>
      <c r="K3" s="291"/>
    </row>
    <row r="4" spans="1:11" ht="20.5">
      <c r="A4" s="443">
        <v>1</v>
      </c>
      <c r="B4" s="443"/>
      <c r="C4" s="443"/>
      <c r="D4" s="443"/>
      <c r="E4" s="448"/>
      <c r="F4" s="443"/>
      <c r="G4" s="443"/>
      <c r="H4" s="443"/>
      <c r="I4" s="461"/>
      <c r="J4" s="449"/>
      <c r="K4" s="450" t="s">
        <v>149</v>
      </c>
    </row>
    <row r="5" spans="1:11" ht="20.5">
      <c r="A5" s="443">
        <v>2</v>
      </c>
      <c r="B5" s="443"/>
      <c r="C5" s="443"/>
      <c r="D5" s="443"/>
      <c r="E5" s="450"/>
      <c r="F5" s="443"/>
      <c r="G5" s="451"/>
      <c r="H5" s="443"/>
      <c r="I5" s="462"/>
      <c r="J5" s="449"/>
      <c r="K5" s="452" t="s">
        <v>150</v>
      </c>
    </row>
    <row r="6" spans="1:11" ht="20.5">
      <c r="A6" s="453"/>
      <c r="B6" s="454"/>
      <c r="C6" s="454"/>
      <c r="D6" s="454"/>
      <c r="E6" s="454"/>
      <c r="F6" s="589" t="s">
        <v>147</v>
      </c>
      <c r="G6" s="589"/>
      <c r="H6" s="590"/>
      <c r="I6" s="463">
        <f>SUM(I4:I5)</f>
        <v>0</v>
      </c>
      <c r="J6" s="455"/>
      <c r="K6" s="292"/>
    </row>
    <row r="7" spans="1:11" ht="20.5">
      <c r="A7" s="584" t="s">
        <v>304</v>
      </c>
      <c r="B7" s="585"/>
      <c r="C7" s="585"/>
      <c r="D7" s="585"/>
      <c r="E7" s="585"/>
      <c r="F7" s="585"/>
      <c r="G7" s="585"/>
      <c r="H7" s="585"/>
      <c r="I7" s="585"/>
      <c r="J7" s="586"/>
      <c r="K7" s="291"/>
    </row>
    <row r="8" spans="1:11" ht="20.5">
      <c r="A8" s="443">
        <v>3</v>
      </c>
      <c r="B8" s="443"/>
      <c r="C8" s="443"/>
      <c r="D8" s="443"/>
      <c r="E8" s="450"/>
      <c r="F8" s="443"/>
      <c r="G8" s="451"/>
      <c r="H8" s="450"/>
      <c r="I8" s="464"/>
      <c r="J8" s="456"/>
      <c r="K8" s="450" t="s">
        <v>149</v>
      </c>
    </row>
    <row r="9" spans="1:11" ht="20.5">
      <c r="A9" s="443">
        <v>4</v>
      </c>
      <c r="B9" s="443"/>
      <c r="C9" s="443"/>
      <c r="D9" s="443"/>
      <c r="E9" s="448"/>
      <c r="F9" s="443"/>
      <c r="G9" s="443"/>
      <c r="H9" s="443"/>
      <c r="I9" s="465"/>
      <c r="J9" s="449"/>
      <c r="K9" s="452" t="s">
        <v>151</v>
      </c>
    </row>
    <row r="10" spans="1:11" ht="20.5">
      <c r="A10" s="443">
        <v>5</v>
      </c>
      <c r="B10" s="443"/>
      <c r="C10" s="443"/>
      <c r="D10" s="443"/>
      <c r="E10" s="448"/>
      <c r="F10" s="443"/>
      <c r="G10" s="443"/>
      <c r="H10" s="443"/>
      <c r="I10" s="465"/>
      <c r="J10" s="457"/>
      <c r="K10" s="452" t="s">
        <v>150</v>
      </c>
    </row>
    <row r="11" spans="1:11" ht="20.5">
      <c r="A11" s="453"/>
      <c r="B11" s="454"/>
      <c r="C11" s="454"/>
      <c r="D11" s="454"/>
      <c r="E11" s="454"/>
      <c r="F11" s="589" t="s">
        <v>146</v>
      </c>
      <c r="G11" s="589"/>
      <c r="H11" s="590"/>
      <c r="I11" s="463">
        <f>SUM(I8:I10)</f>
        <v>0</v>
      </c>
      <c r="J11" s="455"/>
      <c r="K11" s="458"/>
    </row>
    <row r="12" spans="1:11" ht="20.5">
      <c r="A12" s="453"/>
      <c r="B12" s="454"/>
      <c r="C12" s="454"/>
      <c r="D12" s="454"/>
      <c r="E12" s="454"/>
      <c r="F12" s="587" t="s">
        <v>453</v>
      </c>
      <c r="G12" s="587"/>
      <c r="H12" s="588"/>
      <c r="I12" s="466">
        <f>I6+I11</f>
        <v>0</v>
      </c>
      <c r="J12" s="459"/>
      <c r="K12" s="291"/>
    </row>
    <row r="13" spans="1:11">
      <c r="F13" s="294"/>
    </row>
  </sheetData>
  <mergeCells count="6">
    <mergeCell ref="A1:K1"/>
    <mergeCell ref="A7:J7"/>
    <mergeCell ref="F12:H12"/>
    <mergeCell ref="F11:H11"/>
    <mergeCell ref="A3:I3"/>
    <mergeCell ref="F6:H6"/>
  </mergeCells>
  <phoneticPr fontId="17" type="noConversion"/>
  <pageMargins left="0.52812499999999996" right="0.52843137254901962" top="0.7416666666666667" bottom="0.39370078740157483" header="0.37375000000000003" footer="0.11811023622047245"/>
  <pageSetup paperSize="9" scale="79" fitToHeight="0" orientation="landscape" r:id="rId1"/>
  <headerFooter>
    <oddHeader>&amp;R&amp;"TH SarabunPSK,Bold"&amp;16Fm_คำขอ_502_1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M25"/>
  <sheetViews>
    <sheetView tabSelected="1" view="pageBreakPreview" topLeftCell="B10" zoomScaleNormal="100" zoomScaleSheetLayoutView="100" workbookViewId="0">
      <selection activeCell="K13" sqref="K13"/>
    </sheetView>
  </sheetViews>
  <sheetFormatPr defaultColWidth="9" defaultRowHeight="20.5"/>
  <cols>
    <col min="1" max="1" width="5.25" style="520" customWidth="1"/>
    <col min="2" max="2" width="29" style="520" customWidth="1"/>
    <col min="3" max="3" width="9" style="520" customWidth="1"/>
    <col min="4" max="4" width="10.83203125" style="520" customWidth="1"/>
    <col min="5" max="9" width="9" style="520" customWidth="1"/>
    <col min="10" max="11" width="13.25" style="520" customWidth="1"/>
    <col min="12" max="12" width="9.83203125" style="520" customWidth="1"/>
    <col min="13" max="13" width="22.83203125" style="520" customWidth="1"/>
    <col min="14" max="14" width="9" style="520" customWidth="1"/>
    <col min="15" max="16384" width="9" style="520"/>
  </cols>
  <sheetData>
    <row r="1" spans="1:13">
      <c r="A1" s="602" t="s">
        <v>509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</row>
    <row r="2" spans="1:13" s="521" customFormat="1" ht="55.5" customHeight="1">
      <c r="A2" s="603" t="s">
        <v>510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</row>
    <row r="3" spans="1:13" ht="30.75" customHeight="1">
      <c r="A3" s="604" t="s">
        <v>141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</row>
    <row r="4" spans="1:13" ht="30.75" customHeight="1">
      <c r="A4" s="522"/>
      <c r="B4" s="522" t="s">
        <v>515</v>
      </c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</row>
    <row r="5" spans="1:13" ht="30.75" customHeight="1">
      <c r="A5" s="522"/>
      <c r="B5" s="522" t="s">
        <v>516</v>
      </c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</row>
    <row r="6" spans="1:13" ht="30.75" customHeight="1">
      <c r="A6" s="522"/>
      <c r="B6" s="522"/>
      <c r="C6" s="522"/>
      <c r="D6" s="522" t="s">
        <v>517</v>
      </c>
      <c r="E6" s="522"/>
      <c r="F6" s="602" t="s">
        <v>519</v>
      </c>
      <c r="G6" s="602"/>
      <c r="H6" s="522"/>
      <c r="I6" s="602" t="s">
        <v>520</v>
      </c>
      <c r="J6" s="602"/>
      <c r="K6" s="522"/>
      <c r="L6" s="522"/>
      <c r="M6" s="522"/>
    </row>
    <row r="7" spans="1:13" ht="30.75" customHeight="1">
      <c r="A7" s="522"/>
      <c r="B7" s="522"/>
      <c r="C7" s="522"/>
      <c r="D7" s="522" t="s">
        <v>518</v>
      </c>
      <c r="E7" s="522"/>
      <c r="F7" s="602" t="s">
        <v>519</v>
      </c>
      <c r="G7" s="602"/>
      <c r="H7" s="522"/>
      <c r="I7" s="602" t="s">
        <v>520</v>
      </c>
      <c r="J7" s="602"/>
      <c r="K7" s="522"/>
      <c r="L7" s="522"/>
      <c r="M7" s="522"/>
    </row>
    <row r="8" spans="1:13" ht="30.75" customHeight="1">
      <c r="A8" s="522"/>
      <c r="B8" s="522" t="s">
        <v>521</v>
      </c>
      <c r="C8" s="522"/>
      <c r="D8" s="522"/>
      <c r="E8" s="522"/>
      <c r="F8" s="519"/>
      <c r="G8" s="519"/>
      <c r="H8" s="522"/>
      <c r="I8" s="519"/>
      <c r="J8" s="519"/>
      <c r="K8" s="522"/>
      <c r="L8" s="522"/>
      <c r="M8" s="522"/>
    </row>
    <row r="9" spans="1:13" ht="30.75" customHeight="1">
      <c r="A9" s="522"/>
      <c r="B9" s="522" t="s">
        <v>522</v>
      </c>
      <c r="C9" s="522"/>
      <c r="D9" s="522"/>
      <c r="E9" s="522"/>
      <c r="F9" s="519"/>
      <c r="G9" s="519"/>
      <c r="H9" s="522"/>
      <c r="I9" s="519"/>
      <c r="J9" s="519"/>
      <c r="K9" s="522"/>
      <c r="L9" s="522"/>
      <c r="M9" s="522"/>
    </row>
    <row r="10" spans="1:13" ht="30.75" customHeight="1">
      <c r="A10" s="522"/>
      <c r="B10" s="522"/>
      <c r="C10" s="522"/>
      <c r="D10" s="604" t="s">
        <v>533</v>
      </c>
      <c r="E10" s="604"/>
      <c r="F10" s="604"/>
      <c r="G10" s="604"/>
      <c r="H10" s="604"/>
      <c r="I10" s="604"/>
      <c r="J10" s="604"/>
      <c r="K10" s="604"/>
      <c r="L10" s="522"/>
      <c r="M10" s="522"/>
    </row>
    <row r="11" spans="1:13" ht="30.75" customHeight="1">
      <c r="A11" s="522"/>
      <c r="B11" s="522"/>
      <c r="C11" s="522"/>
      <c r="D11" s="522" t="s">
        <v>523</v>
      </c>
      <c r="E11" s="522"/>
      <c r="F11" s="522"/>
      <c r="G11" s="522" t="s">
        <v>524</v>
      </c>
      <c r="H11" s="522"/>
      <c r="I11" s="522" t="s">
        <v>525</v>
      </c>
      <c r="J11" s="522"/>
      <c r="K11" s="522" t="s">
        <v>526</v>
      </c>
      <c r="L11" s="522"/>
      <c r="M11" s="522" t="s">
        <v>534</v>
      </c>
    </row>
    <row r="12" spans="1:13" ht="30.75" customHeight="1">
      <c r="A12" s="522"/>
      <c r="B12" s="522" t="s">
        <v>527</v>
      </c>
      <c r="C12" s="522"/>
      <c r="D12" s="522"/>
      <c r="E12" s="522"/>
      <c r="F12" s="522"/>
      <c r="G12" s="522"/>
      <c r="H12" s="522"/>
      <c r="I12" s="522"/>
      <c r="J12" s="522"/>
      <c r="K12" s="522"/>
      <c r="L12" s="522"/>
      <c r="M12" s="522"/>
    </row>
    <row r="13" spans="1:13" ht="30.75" customHeight="1">
      <c r="A13" s="522"/>
      <c r="B13" s="522" t="s">
        <v>528</v>
      </c>
      <c r="C13" s="522"/>
      <c r="D13" s="522"/>
      <c r="E13" s="522"/>
      <c r="F13" s="522"/>
      <c r="G13" s="522"/>
      <c r="H13" s="522"/>
      <c r="I13" s="522"/>
      <c r="J13" s="522"/>
      <c r="K13" s="522"/>
      <c r="L13" s="522"/>
      <c r="M13" s="522"/>
    </row>
    <row r="14" spans="1:13" ht="96" customHeight="1">
      <c r="A14" s="605" t="s">
        <v>529</v>
      </c>
      <c r="B14" s="605"/>
      <c r="C14" s="605"/>
      <c r="D14" s="605"/>
      <c r="E14" s="605"/>
      <c r="F14" s="605"/>
      <c r="G14" s="605"/>
      <c r="H14" s="605"/>
      <c r="I14" s="605"/>
      <c r="J14" s="605"/>
      <c r="K14" s="605"/>
      <c r="L14" s="605"/>
      <c r="M14" s="605"/>
    </row>
    <row r="15" spans="1:13">
      <c r="A15" s="595" t="s">
        <v>80</v>
      </c>
      <c r="B15" s="598" t="s">
        <v>84</v>
      </c>
      <c r="C15" s="524"/>
      <c r="D15" s="600" t="s">
        <v>83</v>
      </c>
      <c r="E15" s="601"/>
      <c r="F15" s="601"/>
      <c r="G15" s="601"/>
      <c r="H15" s="601"/>
      <c r="I15" s="601"/>
      <c r="J15" s="601"/>
      <c r="K15" s="601"/>
      <c r="L15" s="525"/>
      <c r="M15" s="595" t="s">
        <v>86</v>
      </c>
    </row>
    <row r="16" spans="1:13" ht="21" customHeight="1">
      <c r="A16" s="597"/>
      <c r="B16" s="599"/>
      <c r="C16" s="595" t="s">
        <v>85</v>
      </c>
      <c r="D16" s="599" t="s">
        <v>87</v>
      </c>
      <c r="E16" s="599"/>
      <c r="F16" s="599"/>
      <c r="G16" s="599" t="s">
        <v>530</v>
      </c>
      <c r="H16" s="599"/>
      <c r="I16" s="599"/>
      <c r="J16" s="595" t="s">
        <v>508</v>
      </c>
      <c r="K16" s="595" t="s">
        <v>140</v>
      </c>
      <c r="L16" s="595" t="s">
        <v>91</v>
      </c>
      <c r="M16" s="597"/>
    </row>
    <row r="17" spans="1:13" ht="41">
      <c r="A17" s="596"/>
      <c r="B17" s="599"/>
      <c r="C17" s="596"/>
      <c r="D17" s="523" t="s">
        <v>88</v>
      </c>
      <c r="E17" s="523" t="s">
        <v>89</v>
      </c>
      <c r="F17" s="523" t="s">
        <v>90</v>
      </c>
      <c r="G17" s="523" t="s">
        <v>88</v>
      </c>
      <c r="H17" s="523" t="s">
        <v>89</v>
      </c>
      <c r="I17" s="523" t="s">
        <v>90</v>
      </c>
      <c r="J17" s="596"/>
      <c r="K17" s="596"/>
      <c r="L17" s="596"/>
      <c r="M17" s="596"/>
    </row>
    <row r="18" spans="1:13" ht="73" customHeight="1">
      <c r="A18" s="526">
        <v>1</v>
      </c>
      <c r="B18" s="527"/>
      <c r="C18" s="528"/>
      <c r="D18" s="529"/>
      <c r="E18" s="530"/>
      <c r="F18" s="531"/>
      <c r="G18" s="529"/>
      <c r="H18" s="532"/>
      <c r="I18" s="531"/>
      <c r="J18" s="546" t="s">
        <v>532</v>
      </c>
      <c r="K18" s="534"/>
      <c r="L18" s="531"/>
      <c r="M18" s="545" t="s">
        <v>531</v>
      </c>
    </row>
    <row r="19" spans="1:13" ht="63.75" customHeight="1">
      <c r="A19" s="526">
        <v>2</v>
      </c>
      <c r="B19" s="527"/>
      <c r="C19" s="528"/>
      <c r="D19" s="529"/>
      <c r="E19" s="530"/>
      <c r="F19" s="531"/>
      <c r="G19" s="529"/>
      <c r="H19" s="532"/>
      <c r="I19" s="531"/>
      <c r="J19" s="533"/>
      <c r="K19" s="534"/>
      <c r="L19" s="531"/>
      <c r="M19" s="545" t="s">
        <v>531</v>
      </c>
    </row>
    <row r="20" spans="1:13" ht="70.5" customHeight="1">
      <c r="A20" s="535"/>
      <c r="B20" s="536" t="s">
        <v>91</v>
      </c>
      <c r="C20" s="537">
        <f>SUM(C18:C19)</f>
        <v>0</v>
      </c>
      <c r="D20" s="538"/>
      <c r="E20" s="538"/>
      <c r="F20" s="538">
        <f>SUM(F18:F19)</f>
        <v>0</v>
      </c>
      <c r="G20" s="538"/>
      <c r="H20" s="538"/>
      <c r="I20" s="538">
        <f>SUM(I18:I19)</f>
        <v>0</v>
      </c>
      <c r="J20" s="539"/>
      <c r="K20" s="538">
        <f>SUM(K18:K19)</f>
        <v>0</v>
      </c>
      <c r="L20" s="538">
        <f>SUM(L18:L19)</f>
        <v>0</v>
      </c>
      <c r="M20" s="545" t="s">
        <v>531</v>
      </c>
    </row>
    <row r="21" spans="1:13">
      <c r="A21" s="594"/>
      <c r="B21" s="594"/>
      <c r="C21" s="594"/>
      <c r="D21" s="594"/>
      <c r="E21" s="594"/>
      <c r="F21" s="594"/>
      <c r="G21" s="594"/>
      <c r="H21" s="594"/>
      <c r="I21" s="594"/>
      <c r="J21" s="594"/>
      <c r="K21" s="594"/>
      <c r="L21" s="594"/>
      <c r="M21" s="594"/>
    </row>
    <row r="22" spans="1:13">
      <c r="K22" s="540"/>
      <c r="L22" s="541"/>
      <c r="M22" s="542"/>
    </row>
    <row r="23" spans="1:13">
      <c r="C23" s="543"/>
    </row>
    <row r="24" spans="1:13">
      <c r="L24" s="540"/>
      <c r="M24" s="544"/>
    </row>
    <row r="25" spans="1:13">
      <c r="L25" s="540"/>
    </row>
  </sheetData>
  <mergeCells count="20">
    <mergeCell ref="A1:M1"/>
    <mergeCell ref="A2:M2"/>
    <mergeCell ref="A3:M3"/>
    <mergeCell ref="A14:M14"/>
    <mergeCell ref="G16:I16"/>
    <mergeCell ref="J16:J17"/>
    <mergeCell ref="F6:G6"/>
    <mergeCell ref="I6:J6"/>
    <mergeCell ref="F7:G7"/>
    <mergeCell ref="I7:J7"/>
    <mergeCell ref="D10:K10"/>
    <mergeCell ref="A21:M21"/>
    <mergeCell ref="C16:C17"/>
    <mergeCell ref="K16:K17"/>
    <mergeCell ref="L16:L17"/>
    <mergeCell ref="A15:A17"/>
    <mergeCell ref="B15:B17"/>
    <mergeCell ref="D15:K15"/>
    <mergeCell ref="M15:M17"/>
    <mergeCell ref="D16:F16"/>
  </mergeCells>
  <phoneticPr fontId="17" type="noConversion"/>
  <printOptions horizontalCentered="1"/>
  <pageMargins left="0.35433070866141736" right="0.11811023622047245" top="0.85250000000000004" bottom="0.11811023622047245" header="0.11811023622047245" footer="0.11811023622047245"/>
  <pageSetup paperSize="9" scale="84" fitToHeight="0" orientation="landscape" r:id="rId1"/>
  <headerFooter alignWithMargins="0">
    <oddHeader>&amp;R&amp;"TH SarabunPSK,Bold"&amp;16Fm_คำขอ_502_2</oddHeader>
  </headerFooter>
  <rowBreaks count="1" manualBreakCount="1">
    <brk id="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P444"/>
  <sheetViews>
    <sheetView view="pageBreakPreview" zoomScaleSheetLayoutView="100" workbookViewId="0">
      <selection activeCell="M8" sqref="M8"/>
    </sheetView>
  </sheetViews>
  <sheetFormatPr defaultColWidth="9" defaultRowHeight="14.5"/>
  <cols>
    <col min="1" max="1" width="28.5" style="99" customWidth="1"/>
    <col min="2" max="2" width="8" style="185" customWidth="1"/>
    <col min="3" max="5" width="8.25" style="99" customWidth="1"/>
    <col min="6" max="6" width="6" style="99" customWidth="1"/>
    <col min="7" max="7" width="6.08203125" style="99" customWidth="1"/>
    <col min="8" max="8" width="5.83203125" style="99" customWidth="1"/>
    <col min="9" max="9" width="7.83203125" style="99" customWidth="1"/>
    <col min="10" max="10" width="8.25" style="99" customWidth="1"/>
    <col min="11" max="12" width="9" style="99" customWidth="1"/>
    <col min="13" max="13" width="41.5" style="99" customWidth="1"/>
    <col min="14" max="14" width="8.75" style="99" customWidth="1"/>
    <col min="15" max="15" width="9" style="99" customWidth="1"/>
    <col min="16" max="16384" width="9" style="99"/>
  </cols>
  <sheetData>
    <row r="1" spans="1:42" ht="20.5">
      <c r="A1" s="642" t="s">
        <v>307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</row>
    <row r="2" spans="1:42" ht="18">
      <c r="A2" s="231" t="s">
        <v>152</v>
      </c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42" ht="18">
      <c r="A3" s="231" t="s">
        <v>153</v>
      </c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 t="s">
        <v>154</v>
      </c>
    </row>
    <row r="4" spans="1:42" ht="15.5">
      <c r="A4" s="200" t="s">
        <v>155</v>
      </c>
      <c r="B4" s="643" t="s">
        <v>182</v>
      </c>
      <c r="C4" s="644"/>
      <c r="D4" s="643" t="s">
        <v>156</v>
      </c>
      <c r="E4" s="644"/>
      <c r="F4" s="643" t="s">
        <v>183</v>
      </c>
      <c r="G4" s="645"/>
      <c r="H4" s="645"/>
      <c r="I4" s="645"/>
      <c r="J4" s="645"/>
      <c r="K4" s="200" t="s">
        <v>157</v>
      </c>
      <c r="L4" s="200" t="s">
        <v>158</v>
      </c>
      <c r="M4" s="201" t="s">
        <v>159</v>
      </c>
    </row>
    <row r="5" spans="1:42" ht="15.5">
      <c r="A5" s="202" t="s">
        <v>160</v>
      </c>
      <c r="B5" s="203" t="s">
        <v>161</v>
      </c>
      <c r="C5" s="200" t="s">
        <v>162</v>
      </c>
      <c r="D5" s="200" t="s">
        <v>161</v>
      </c>
      <c r="E5" s="200" t="s">
        <v>162</v>
      </c>
      <c r="F5" s="646" t="s">
        <v>163</v>
      </c>
      <c r="G5" s="646" t="s">
        <v>164</v>
      </c>
      <c r="H5" s="646" t="s">
        <v>95</v>
      </c>
      <c r="I5" s="646" t="s">
        <v>165</v>
      </c>
      <c r="J5" s="646" t="s">
        <v>166</v>
      </c>
      <c r="K5" s="202" t="s">
        <v>167</v>
      </c>
      <c r="L5" s="202" t="s">
        <v>168</v>
      </c>
      <c r="M5" s="204" t="s">
        <v>235</v>
      </c>
    </row>
    <row r="6" spans="1:42" ht="15.5">
      <c r="A6" s="205" t="s">
        <v>169</v>
      </c>
      <c r="B6" s="206"/>
      <c r="C6" s="205"/>
      <c r="D6" s="205"/>
      <c r="E6" s="205"/>
      <c r="F6" s="647"/>
      <c r="G6" s="647"/>
      <c r="H6" s="647"/>
      <c r="I6" s="647"/>
      <c r="J6" s="647"/>
      <c r="K6" s="205"/>
      <c r="L6" s="205"/>
      <c r="M6" s="207"/>
    </row>
    <row r="7" spans="1:42" s="217" customFormat="1" ht="21" thickBot="1">
      <c r="A7" s="211" t="s">
        <v>144</v>
      </c>
      <c r="B7" s="212"/>
      <c r="C7" s="213"/>
      <c r="D7" s="213"/>
      <c r="E7" s="213"/>
      <c r="F7" s="213"/>
      <c r="G7" s="214"/>
      <c r="H7" s="213"/>
      <c r="I7" s="215"/>
      <c r="J7" s="213">
        <f>+J8+J130</f>
        <v>9.8012999999999995</v>
      </c>
      <c r="K7" s="216"/>
      <c r="L7" s="213"/>
      <c r="M7" s="213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</row>
    <row r="8" spans="1:42" ht="54.5" thickTop="1">
      <c r="A8" s="232" t="s">
        <v>302</v>
      </c>
      <c r="B8" s="186"/>
      <c r="C8" s="187"/>
      <c r="D8" s="187"/>
      <c r="E8" s="187"/>
      <c r="F8" s="188"/>
      <c r="G8" s="189"/>
      <c r="H8" s="188"/>
      <c r="I8" s="189"/>
      <c r="J8" s="228">
        <f>+J9</f>
        <v>2.4256000000000002</v>
      </c>
      <c r="K8" s="189"/>
      <c r="L8" s="188"/>
      <c r="M8" s="188"/>
    </row>
    <row r="9" spans="1:42" ht="72">
      <c r="A9" s="223" t="s">
        <v>303</v>
      </c>
      <c r="B9" s="229">
        <f>+B11+B21+B31+B40+B50+B60+B69+B79+B89+B100+B110+B120</f>
        <v>1.0125</v>
      </c>
      <c r="C9" s="229">
        <f>+C11+C21+C31+C40+C50+C60+C69+C79+C89+C100+C110+C120</f>
        <v>0.85173701000000002</v>
      </c>
      <c r="D9" s="229">
        <f>+D11+D21+D31+D40+D50+D60+D69+D79+D89+D100+D110+D120</f>
        <v>0.89500000000000002</v>
      </c>
      <c r="E9" s="229"/>
      <c r="F9" s="191"/>
      <c r="G9" s="192"/>
      <c r="H9" s="191"/>
      <c r="I9" s="192"/>
      <c r="J9" s="229">
        <f>+J11+J21+J31+J40+J50+J60+J69+J79+J89+J100+J110+J120</f>
        <v>2.4256000000000002</v>
      </c>
      <c r="K9" s="193"/>
      <c r="L9" s="208"/>
      <c r="M9" s="191"/>
    </row>
    <row r="10" spans="1:42" ht="18">
      <c r="A10" s="230" t="s">
        <v>170</v>
      </c>
      <c r="B10" s="115"/>
      <c r="C10" s="113"/>
      <c r="D10" s="113"/>
      <c r="E10" s="113"/>
      <c r="F10" s="113"/>
      <c r="G10" s="114"/>
      <c r="H10" s="113"/>
      <c r="I10" s="114"/>
      <c r="J10" s="113"/>
      <c r="K10" s="114"/>
      <c r="L10" s="113"/>
      <c r="M10" s="113"/>
    </row>
    <row r="11" spans="1:42" ht="54" customHeight="1">
      <c r="A11" s="199" t="s">
        <v>171</v>
      </c>
      <c r="B11" s="255">
        <v>4.8300000000000003E-2</v>
      </c>
      <c r="C11" s="235">
        <v>2.6034999999999999E-2</v>
      </c>
      <c r="D11" s="235">
        <v>9.1600000000000001E-2</v>
      </c>
      <c r="E11" s="235">
        <v>7.4801659999999999E-3</v>
      </c>
      <c r="F11" s="256">
        <v>1</v>
      </c>
      <c r="G11" s="256">
        <v>2</v>
      </c>
      <c r="H11" s="256">
        <v>4</v>
      </c>
      <c r="I11" s="239"/>
      <c r="J11" s="239">
        <f>+SUM(J12:J20)</f>
        <v>0.11</v>
      </c>
      <c r="K11" s="196" t="s">
        <v>149</v>
      </c>
      <c r="L11" s="612" t="s">
        <v>308</v>
      </c>
      <c r="M11" s="619" t="s">
        <v>236</v>
      </c>
    </row>
    <row r="12" spans="1:42" ht="15.5">
      <c r="A12" s="102" t="s">
        <v>172</v>
      </c>
      <c r="B12" s="116"/>
      <c r="C12" s="85"/>
      <c r="D12" s="85"/>
      <c r="E12" s="85"/>
      <c r="F12" s="86">
        <v>1</v>
      </c>
      <c r="G12" s="87">
        <v>2</v>
      </c>
      <c r="H12" s="86">
        <v>4</v>
      </c>
      <c r="I12" s="88">
        <v>3.0999999999999999E-3</v>
      </c>
      <c r="J12" s="89">
        <f t="shared" ref="J12:J20" si="0">+I12*H12*G12*F12</f>
        <v>2.4799999999999999E-2</v>
      </c>
      <c r="K12" s="197"/>
      <c r="L12" s="613"/>
      <c r="M12" s="619"/>
    </row>
    <row r="13" spans="1:42" ht="15.5">
      <c r="A13" s="85" t="s">
        <v>173</v>
      </c>
      <c r="B13" s="116"/>
      <c r="C13" s="85"/>
      <c r="D13" s="85"/>
      <c r="E13" s="85"/>
      <c r="F13" s="89">
        <v>0</v>
      </c>
      <c r="G13" s="89">
        <v>0</v>
      </c>
      <c r="H13" s="89">
        <v>0</v>
      </c>
      <c r="I13" s="88">
        <v>0</v>
      </c>
      <c r="J13" s="89">
        <f t="shared" si="0"/>
        <v>0</v>
      </c>
      <c r="K13" s="197"/>
      <c r="L13" s="613"/>
      <c r="M13" s="619"/>
    </row>
    <row r="14" spans="1:42" ht="15.5">
      <c r="A14" s="85" t="s">
        <v>174</v>
      </c>
      <c r="B14" s="116"/>
      <c r="C14" s="85"/>
      <c r="D14" s="85"/>
      <c r="E14" s="85"/>
      <c r="F14" s="86">
        <v>1</v>
      </c>
      <c r="G14" s="87">
        <v>2</v>
      </c>
      <c r="H14" s="86">
        <v>3</v>
      </c>
      <c r="I14" s="88">
        <v>7.0000000000000001E-3</v>
      </c>
      <c r="J14" s="89">
        <f t="shared" si="0"/>
        <v>4.2000000000000003E-2</v>
      </c>
      <c r="K14" s="197"/>
      <c r="L14" s="613"/>
      <c r="M14" s="619"/>
    </row>
    <row r="15" spans="1:42" ht="15.5">
      <c r="A15" s="85" t="s">
        <v>175</v>
      </c>
      <c r="B15" s="116"/>
      <c r="C15" s="85"/>
      <c r="D15" s="85"/>
      <c r="E15" s="85"/>
      <c r="F15" s="89">
        <v>0</v>
      </c>
      <c r="G15" s="89">
        <v>0</v>
      </c>
      <c r="H15" s="89">
        <v>0</v>
      </c>
      <c r="I15" s="88">
        <v>0</v>
      </c>
      <c r="J15" s="89">
        <f t="shared" si="0"/>
        <v>0</v>
      </c>
      <c r="K15" s="197"/>
      <c r="L15" s="613"/>
      <c r="M15" s="619"/>
    </row>
    <row r="16" spans="1:42" ht="15.5">
      <c r="A16" s="117" t="s">
        <v>184</v>
      </c>
      <c r="B16" s="116"/>
      <c r="C16" s="85"/>
      <c r="D16" s="85"/>
      <c r="E16" s="85"/>
      <c r="F16" s="86">
        <v>1</v>
      </c>
      <c r="G16" s="87">
        <v>2</v>
      </c>
      <c r="H16" s="86">
        <v>1</v>
      </c>
      <c r="I16" s="88">
        <f>0.017</f>
        <v>1.7000000000000001E-2</v>
      </c>
      <c r="J16" s="89">
        <f t="shared" si="0"/>
        <v>3.4000000000000002E-2</v>
      </c>
      <c r="K16" s="197"/>
      <c r="L16" s="613"/>
      <c r="M16" s="619"/>
    </row>
    <row r="17" spans="1:13" ht="15.5">
      <c r="A17" s="85" t="s">
        <v>176</v>
      </c>
      <c r="B17" s="116"/>
      <c r="C17" s="85"/>
      <c r="D17" s="85"/>
      <c r="E17" s="85"/>
      <c r="F17" s="89">
        <v>0</v>
      </c>
      <c r="G17" s="89">
        <v>0</v>
      </c>
      <c r="H17" s="89">
        <v>0</v>
      </c>
      <c r="I17" s="88">
        <v>0</v>
      </c>
      <c r="J17" s="89">
        <f t="shared" si="0"/>
        <v>0</v>
      </c>
      <c r="K17" s="197"/>
      <c r="L17" s="613"/>
      <c r="M17" s="619"/>
    </row>
    <row r="18" spans="1:13" ht="15.5">
      <c r="A18" s="85" t="s">
        <v>177</v>
      </c>
      <c r="B18" s="116"/>
      <c r="C18" s="85"/>
      <c r="D18" s="85"/>
      <c r="E18" s="85"/>
      <c r="F18" s="89">
        <v>0</v>
      </c>
      <c r="G18" s="89">
        <v>0</v>
      </c>
      <c r="H18" s="89">
        <v>0</v>
      </c>
      <c r="I18" s="88">
        <v>0</v>
      </c>
      <c r="J18" s="89">
        <f t="shared" si="0"/>
        <v>0</v>
      </c>
      <c r="K18" s="197"/>
      <c r="L18" s="613"/>
      <c r="M18" s="619"/>
    </row>
    <row r="19" spans="1:13" ht="15.5">
      <c r="A19" s="85" t="s">
        <v>178</v>
      </c>
      <c r="B19" s="116"/>
      <c r="C19" s="85"/>
      <c r="D19" s="85"/>
      <c r="E19" s="85"/>
      <c r="F19" s="89">
        <v>0</v>
      </c>
      <c r="G19" s="89">
        <v>0</v>
      </c>
      <c r="H19" s="89">
        <v>0</v>
      </c>
      <c r="I19" s="88">
        <v>0</v>
      </c>
      <c r="J19" s="89">
        <f t="shared" si="0"/>
        <v>0</v>
      </c>
      <c r="K19" s="197"/>
      <c r="L19" s="613"/>
      <c r="M19" s="619"/>
    </row>
    <row r="20" spans="1:13" ht="22.5" customHeight="1">
      <c r="A20" s="103" t="s">
        <v>179</v>
      </c>
      <c r="B20" s="118"/>
      <c r="C20" s="104"/>
      <c r="D20" s="104"/>
      <c r="E20" s="104"/>
      <c r="F20" s="119">
        <v>1</v>
      </c>
      <c r="G20" s="120">
        <v>2</v>
      </c>
      <c r="H20" s="119">
        <v>4</v>
      </c>
      <c r="I20" s="121">
        <v>1.15E-3</v>
      </c>
      <c r="J20" s="122">
        <f t="shared" si="0"/>
        <v>9.1999999999999998E-3</v>
      </c>
      <c r="K20" s="198"/>
      <c r="L20" s="614"/>
      <c r="M20" s="620"/>
    </row>
    <row r="21" spans="1:13" ht="53.25" customHeight="1">
      <c r="A21" s="254" t="s">
        <v>180</v>
      </c>
      <c r="B21" s="233">
        <v>0.1</v>
      </c>
      <c r="C21" s="233">
        <v>4.7572009999999998E-2</v>
      </c>
      <c r="D21" s="234">
        <v>0.16</v>
      </c>
      <c r="E21" s="235">
        <v>0.15865004999999999</v>
      </c>
      <c r="F21" s="236">
        <v>2</v>
      </c>
      <c r="G21" s="237">
        <v>3</v>
      </c>
      <c r="H21" s="236">
        <v>3</v>
      </c>
      <c r="I21" s="238"/>
      <c r="J21" s="239">
        <f>+SUM(J22:J30)</f>
        <v>0.18260000000000001</v>
      </c>
      <c r="K21" s="609" t="s">
        <v>149</v>
      </c>
      <c r="L21" s="612" t="s">
        <v>310</v>
      </c>
      <c r="M21" s="615" t="s">
        <v>185</v>
      </c>
    </row>
    <row r="22" spans="1:13" ht="15.5">
      <c r="A22" s="102" t="s">
        <v>172</v>
      </c>
      <c r="B22" s="116"/>
      <c r="C22" s="85"/>
      <c r="D22" s="85"/>
      <c r="E22" s="85"/>
      <c r="F22" s="86">
        <v>2</v>
      </c>
      <c r="G22" s="87">
        <v>1</v>
      </c>
      <c r="H22" s="86">
        <v>3</v>
      </c>
      <c r="I22" s="88">
        <v>3.0999999999999999E-3</v>
      </c>
      <c r="J22" s="89">
        <f t="shared" ref="J22:J29" si="1">+I22*H22*G22*F22</f>
        <v>1.8599999999999998E-2</v>
      </c>
      <c r="K22" s="610"/>
      <c r="L22" s="613"/>
      <c r="M22" s="616"/>
    </row>
    <row r="23" spans="1:13" ht="15.5">
      <c r="A23" s="85" t="s">
        <v>173</v>
      </c>
      <c r="B23" s="116"/>
      <c r="C23" s="85"/>
      <c r="D23" s="85"/>
      <c r="E23" s="85"/>
      <c r="F23" s="86">
        <v>2</v>
      </c>
      <c r="G23" s="87">
        <v>2</v>
      </c>
      <c r="H23" s="86">
        <v>3</v>
      </c>
      <c r="I23" s="88">
        <v>2.0999999999999999E-3</v>
      </c>
      <c r="J23" s="89">
        <f t="shared" si="1"/>
        <v>2.52E-2</v>
      </c>
      <c r="K23" s="610"/>
      <c r="L23" s="613"/>
      <c r="M23" s="616"/>
    </row>
    <row r="24" spans="1:13" ht="15.5">
      <c r="A24" s="85" t="s">
        <v>174</v>
      </c>
      <c r="B24" s="116"/>
      <c r="C24" s="85"/>
      <c r="D24" s="85"/>
      <c r="E24" s="85"/>
      <c r="F24" s="86">
        <v>2</v>
      </c>
      <c r="G24" s="87">
        <v>1</v>
      </c>
      <c r="H24" s="86">
        <v>2</v>
      </c>
      <c r="I24" s="88">
        <f>0.003</f>
        <v>3.0000000000000001E-3</v>
      </c>
      <c r="J24" s="89">
        <f t="shared" si="1"/>
        <v>1.2E-2</v>
      </c>
      <c r="K24" s="610"/>
      <c r="L24" s="613"/>
      <c r="M24" s="616"/>
    </row>
    <row r="25" spans="1:13" ht="15.5">
      <c r="A25" s="85" t="s">
        <v>175</v>
      </c>
      <c r="B25" s="116"/>
      <c r="C25" s="85"/>
      <c r="D25" s="85"/>
      <c r="E25" s="85"/>
      <c r="F25" s="86">
        <v>2</v>
      </c>
      <c r="G25" s="87">
        <v>2</v>
      </c>
      <c r="H25" s="86">
        <v>2</v>
      </c>
      <c r="I25" s="88">
        <f>0.0025</f>
        <v>2.5000000000000001E-3</v>
      </c>
      <c r="J25" s="89">
        <f t="shared" si="1"/>
        <v>0.02</v>
      </c>
      <c r="K25" s="610"/>
      <c r="L25" s="613"/>
      <c r="M25" s="616"/>
    </row>
    <row r="26" spans="1:13" ht="15.5">
      <c r="A26" s="85" t="s">
        <v>184</v>
      </c>
      <c r="B26" s="116"/>
      <c r="C26" s="85"/>
      <c r="D26" s="85"/>
      <c r="E26" s="85"/>
      <c r="F26" s="86">
        <v>2</v>
      </c>
      <c r="G26" s="87">
        <v>3</v>
      </c>
      <c r="H26" s="86">
        <v>1</v>
      </c>
      <c r="I26" s="88">
        <f>0.015</f>
        <v>1.4999999999999999E-2</v>
      </c>
      <c r="J26" s="89">
        <f t="shared" si="1"/>
        <v>0.09</v>
      </c>
      <c r="K26" s="610"/>
      <c r="L26" s="613"/>
      <c r="M26" s="616"/>
    </row>
    <row r="27" spans="1:13" ht="15.5">
      <c r="A27" s="85" t="s">
        <v>176</v>
      </c>
      <c r="B27" s="116"/>
      <c r="C27" s="85"/>
      <c r="D27" s="85"/>
      <c r="E27" s="85"/>
      <c r="F27" s="89">
        <v>0</v>
      </c>
      <c r="G27" s="89">
        <v>0</v>
      </c>
      <c r="H27" s="89">
        <v>0</v>
      </c>
      <c r="I27" s="88">
        <v>0</v>
      </c>
      <c r="J27" s="89">
        <f t="shared" si="1"/>
        <v>0</v>
      </c>
      <c r="K27" s="610"/>
      <c r="L27" s="613"/>
      <c r="M27" s="616"/>
    </row>
    <row r="28" spans="1:13" ht="15.5">
      <c r="A28" s="85" t="s">
        <v>177</v>
      </c>
      <c r="B28" s="116"/>
      <c r="C28" s="85"/>
      <c r="D28" s="85"/>
      <c r="E28" s="85"/>
      <c r="F28" s="89">
        <v>0</v>
      </c>
      <c r="G28" s="89">
        <v>0</v>
      </c>
      <c r="H28" s="89">
        <v>0</v>
      </c>
      <c r="I28" s="88">
        <v>0</v>
      </c>
      <c r="J28" s="89">
        <f t="shared" si="1"/>
        <v>0</v>
      </c>
      <c r="K28" s="610"/>
      <c r="L28" s="613"/>
      <c r="M28" s="616"/>
    </row>
    <row r="29" spans="1:13" ht="15.5">
      <c r="A29" s="90" t="s">
        <v>179</v>
      </c>
      <c r="B29" s="116"/>
      <c r="C29" s="85"/>
      <c r="D29" s="85"/>
      <c r="E29" s="85"/>
      <c r="F29" s="86">
        <v>2</v>
      </c>
      <c r="G29" s="87">
        <v>3</v>
      </c>
      <c r="H29" s="86">
        <v>3</v>
      </c>
      <c r="I29" s="123">
        <f>0.0028/3</f>
        <v>9.33333333333333E-4</v>
      </c>
      <c r="J29" s="89">
        <f t="shared" si="1"/>
        <v>1.6799999999999999E-2</v>
      </c>
      <c r="K29" s="610"/>
      <c r="L29" s="613"/>
      <c r="M29" s="616"/>
    </row>
    <row r="30" spans="1:13" ht="250.5" customHeight="1">
      <c r="A30" s="103"/>
      <c r="B30" s="124"/>
      <c r="C30" s="94"/>
      <c r="D30" s="94"/>
      <c r="E30" s="94"/>
      <c r="F30" s="95"/>
      <c r="G30" s="96"/>
      <c r="H30" s="95"/>
      <c r="I30" s="125"/>
      <c r="J30" s="122"/>
      <c r="K30" s="611"/>
      <c r="L30" s="614"/>
      <c r="M30" s="617"/>
    </row>
    <row r="31" spans="1:13" ht="94.5" customHeight="1">
      <c r="A31" s="240" t="s">
        <v>181</v>
      </c>
      <c r="B31" s="233">
        <v>0.18679999999999999</v>
      </c>
      <c r="C31" s="253">
        <v>0.12231300000000001</v>
      </c>
      <c r="D31" s="249">
        <v>4.2000000000000003E-2</v>
      </c>
      <c r="E31" s="240" t="s">
        <v>299</v>
      </c>
      <c r="F31" s="246">
        <v>2</v>
      </c>
      <c r="G31" s="247">
        <v>2</v>
      </c>
      <c r="H31" s="246">
        <v>4</v>
      </c>
      <c r="I31" s="238"/>
      <c r="J31" s="239">
        <f>+SUM(J32:J39)</f>
        <v>0.16880000000000001</v>
      </c>
      <c r="K31" s="609" t="s">
        <v>149</v>
      </c>
      <c r="L31" s="612" t="s">
        <v>309</v>
      </c>
      <c r="M31" s="618" t="s">
        <v>186</v>
      </c>
    </row>
    <row r="32" spans="1:13" ht="15.5">
      <c r="A32" s="102" t="s">
        <v>172</v>
      </c>
      <c r="B32" s="116"/>
      <c r="C32" s="85"/>
      <c r="D32" s="85"/>
      <c r="E32" s="85"/>
      <c r="F32" s="89">
        <v>0</v>
      </c>
      <c r="G32" s="89">
        <v>0</v>
      </c>
      <c r="H32" s="89">
        <v>0</v>
      </c>
      <c r="I32" s="88">
        <v>0</v>
      </c>
      <c r="J32" s="89">
        <f>+I32*H32</f>
        <v>0</v>
      </c>
      <c r="K32" s="610"/>
      <c r="L32" s="613"/>
      <c r="M32" s="619"/>
    </row>
    <row r="33" spans="1:13" ht="15.5">
      <c r="A33" s="85" t="s">
        <v>173</v>
      </c>
      <c r="B33" s="116"/>
      <c r="C33" s="85"/>
      <c r="D33" s="85"/>
      <c r="E33" s="85"/>
      <c r="F33" s="86">
        <v>2</v>
      </c>
      <c r="G33" s="87">
        <v>2</v>
      </c>
      <c r="H33" s="86">
        <v>4</v>
      </c>
      <c r="I33" s="88">
        <v>2.0999999999999999E-3</v>
      </c>
      <c r="J33" s="85">
        <f>+I33*H33*G33*F33</f>
        <v>3.3599999999999998E-2</v>
      </c>
      <c r="K33" s="610"/>
      <c r="L33" s="613"/>
      <c r="M33" s="619"/>
    </row>
    <row r="34" spans="1:13" ht="15.5">
      <c r="A34" s="85" t="s">
        <v>174</v>
      </c>
      <c r="B34" s="116"/>
      <c r="C34" s="85"/>
      <c r="D34" s="85"/>
      <c r="E34" s="85"/>
      <c r="F34" s="89">
        <v>0</v>
      </c>
      <c r="G34" s="89">
        <v>0</v>
      </c>
      <c r="H34" s="89">
        <v>0</v>
      </c>
      <c r="I34" s="88">
        <v>0</v>
      </c>
      <c r="J34" s="85">
        <f>+I34*H34*G34*F34</f>
        <v>0</v>
      </c>
      <c r="K34" s="610"/>
      <c r="L34" s="613"/>
      <c r="M34" s="619"/>
    </row>
    <row r="35" spans="1:13" ht="15.5">
      <c r="A35" s="85" t="s">
        <v>175</v>
      </c>
      <c r="B35" s="116"/>
      <c r="C35" s="85"/>
      <c r="D35" s="85"/>
      <c r="E35" s="85"/>
      <c r="F35" s="86">
        <v>2</v>
      </c>
      <c r="G35" s="87">
        <v>2</v>
      </c>
      <c r="H35" s="86">
        <v>4</v>
      </c>
      <c r="I35" s="88">
        <f>0.003</f>
        <v>3.0000000000000001E-3</v>
      </c>
      <c r="J35" s="85">
        <f>+I35*H35*G35*F35</f>
        <v>4.8000000000000001E-2</v>
      </c>
      <c r="K35" s="610"/>
      <c r="L35" s="613"/>
      <c r="M35" s="619"/>
    </row>
    <row r="36" spans="1:13" ht="15.5">
      <c r="A36" s="85" t="s">
        <v>205</v>
      </c>
      <c r="B36" s="116"/>
      <c r="C36" s="85"/>
      <c r="D36" s="85"/>
      <c r="E36" s="85"/>
      <c r="F36" s="86">
        <v>2</v>
      </c>
      <c r="G36" s="87">
        <v>2</v>
      </c>
      <c r="H36" s="86">
        <v>1</v>
      </c>
      <c r="I36" s="88">
        <f>0.018</f>
        <v>1.7999999999999999E-2</v>
      </c>
      <c r="J36" s="85">
        <f>+I36*H36*G36*F36</f>
        <v>7.1999999999999995E-2</v>
      </c>
      <c r="K36" s="610"/>
      <c r="L36" s="613"/>
      <c r="M36" s="619"/>
    </row>
    <row r="37" spans="1:13" ht="15.5">
      <c r="A37" s="85" t="s">
        <v>176</v>
      </c>
      <c r="B37" s="116"/>
      <c r="C37" s="85"/>
      <c r="D37" s="85"/>
      <c r="E37" s="85"/>
      <c r="F37" s="85"/>
      <c r="G37" s="126"/>
      <c r="H37" s="85"/>
      <c r="I37" s="126"/>
      <c r="J37" s="85"/>
      <c r="K37" s="610"/>
      <c r="L37" s="613"/>
      <c r="M37" s="619"/>
    </row>
    <row r="38" spans="1:13" ht="15.5">
      <c r="A38" s="85" t="s">
        <v>177</v>
      </c>
      <c r="B38" s="116"/>
      <c r="C38" s="85"/>
      <c r="D38" s="85"/>
      <c r="E38" s="85"/>
      <c r="F38" s="85"/>
      <c r="G38" s="126"/>
      <c r="H38" s="85"/>
      <c r="I38" s="126"/>
      <c r="J38" s="85"/>
      <c r="K38" s="610"/>
      <c r="L38" s="613"/>
      <c r="M38" s="619"/>
    </row>
    <row r="39" spans="1:13" ht="15.5">
      <c r="A39" s="103" t="s">
        <v>179</v>
      </c>
      <c r="B39" s="124"/>
      <c r="C39" s="94"/>
      <c r="D39" s="94"/>
      <c r="E39" s="94"/>
      <c r="F39" s="95">
        <v>2</v>
      </c>
      <c r="G39" s="96">
        <v>2</v>
      </c>
      <c r="H39" s="95">
        <v>4</v>
      </c>
      <c r="I39" s="125">
        <f>0.00095</f>
        <v>9.5E-4</v>
      </c>
      <c r="J39" s="94">
        <f>+I39*H39*G39*F39</f>
        <v>1.52E-2</v>
      </c>
      <c r="K39" s="611"/>
      <c r="L39" s="614"/>
      <c r="M39" s="620"/>
    </row>
    <row r="40" spans="1:13" ht="39" customHeight="1">
      <c r="A40" s="244" t="s">
        <v>187</v>
      </c>
      <c r="B40" s="250">
        <v>0.6774</v>
      </c>
      <c r="C40" s="234">
        <v>0.65581699999999998</v>
      </c>
      <c r="D40" s="251">
        <v>0.38919999999999999</v>
      </c>
      <c r="E40" s="252">
        <v>0.389048</v>
      </c>
      <c r="F40" s="246">
        <v>1</v>
      </c>
      <c r="G40" s="247">
        <v>5</v>
      </c>
      <c r="H40" s="246">
        <v>6</v>
      </c>
      <c r="I40" s="248"/>
      <c r="J40" s="239">
        <f>+SUM(J41:J49)</f>
        <v>0.52800000000000002</v>
      </c>
      <c r="K40" s="634" t="s">
        <v>150</v>
      </c>
      <c r="L40" s="637" t="s">
        <v>260</v>
      </c>
      <c r="M40" s="629" t="s">
        <v>189</v>
      </c>
    </row>
    <row r="41" spans="1:13" ht="15.5">
      <c r="A41" s="102" t="s">
        <v>172</v>
      </c>
      <c r="B41" s="116"/>
      <c r="C41" s="85"/>
      <c r="D41" s="85"/>
      <c r="E41" s="85"/>
      <c r="F41" s="86">
        <v>1</v>
      </c>
      <c r="G41" s="87">
        <v>1</v>
      </c>
      <c r="H41" s="86">
        <v>6</v>
      </c>
      <c r="I41" s="88">
        <v>3.0999999999999999E-3</v>
      </c>
      <c r="J41" s="85">
        <f>+I41*H41*G41*F41</f>
        <v>1.8599999999999998E-2</v>
      </c>
      <c r="K41" s="635"/>
      <c r="L41" s="638"/>
      <c r="M41" s="640"/>
    </row>
    <row r="42" spans="1:13" ht="15.5">
      <c r="A42" s="85" t="s">
        <v>173</v>
      </c>
      <c r="B42" s="116"/>
      <c r="C42" s="85"/>
      <c r="D42" s="85"/>
      <c r="E42" s="85"/>
      <c r="F42" s="86">
        <v>1</v>
      </c>
      <c r="G42" s="87">
        <v>4</v>
      </c>
      <c r="H42" s="86">
        <v>6</v>
      </c>
      <c r="I42" s="88">
        <v>2.0999999999999999E-3</v>
      </c>
      <c r="J42" s="85">
        <f>+I42*H42*G42*F42</f>
        <v>5.04E-2</v>
      </c>
      <c r="K42" s="635"/>
      <c r="L42" s="638"/>
      <c r="M42" s="640"/>
    </row>
    <row r="43" spans="1:13" ht="15.5">
      <c r="A43" s="85" t="s">
        <v>174</v>
      </c>
      <c r="B43" s="116"/>
      <c r="C43" s="85"/>
      <c r="D43" s="85"/>
      <c r="E43" s="85"/>
      <c r="F43" s="86">
        <v>1</v>
      </c>
      <c r="G43" s="87">
        <v>1</v>
      </c>
      <c r="H43" s="86">
        <v>4</v>
      </c>
      <c r="I43" s="88">
        <f>0.0042</f>
        <v>4.1999999999999997E-3</v>
      </c>
      <c r="J43" s="89">
        <f>+I43*H43*G43*F43</f>
        <v>1.6799999999999999E-2</v>
      </c>
      <c r="K43" s="635"/>
      <c r="L43" s="638"/>
      <c r="M43" s="640"/>
    </row>
    <row r="44" spans="1:13" ht="15.5">
      <c r="A44" s="85" t="s">
        <v>175</v>
      </c>
      <c r="B44" s="116"/>
      <c r="C44" s="85"/>
      <c r="D44" s="85"/>
      <c r="E44" s="85"/>
      <c r="F44" s="86">
        <v>1</v>
      </c>
      <c r="G44" s="87">
        <v>4</v>
      </c>
      <c r="H44" s="86">
        <v>4</v>
      </c>
      <c r="I44" s="88">
        <f>0.0042</f>
        <v>4.1999999999999997E-3</v>
      </c>
      <c r="J44" s="89">
        <f>+I44*H44*G44*F44</f>
        <v>6.7199999999999996E-2</v>
      </c>
      <c r="K44" s="635"/>
      <c r="L44" s="638"/>
      <c r="M44" s="640"/>
    </row>
    <row r="45" spans="1:13" ht="15.5">
      <c r="A45" s="85" t="s">
        <v>184</v>
      </c>
      <c r="B45" s="116"/>
      <c r="C45" s="85"/>
      <c r="D45" s="85"/>
      <c r="E45" s="85"/>
      <c r="F45" s="86">
        <v>1</v>
      </c>
      <c r="G45" s="87">
        <v>5</v>
      </c>
      <c r="H45" s="86">
        <v>1</v>
      </c>
      <c r="I45" s="88">
        <f>0.045</f>
        <v>4.4999999999999998E-2</v>
      </c>
      <c r="J45" s="89">
        <f>+I45*H45*G45*F45</f>
        <v>0.22500000000000001</v>
      </c>
      <c r="K45" s="635"/>
      <c r="L45" s="638"/>
      <c r="M45" s="640"/>
    </row>
    <row r="46" spans="1:13" ht="15.5">
      <c r="A46" s="85" t="s">
        <v>176</v>
      </c>
      <c r="B46" s="116"/>
      <c r="C46" s="85"/>
      <c r="D46" s="85"/>
      <c r="E46" s="85"/>
      <c r="F46" s="89">
        <v>0</v>
      </c>
      <c r="G46" s="89">
        <v>0</v>
      </c>
      <c r="H46" s="89">
        <v>0</v>
      </c>
      <c r="I46" s="88">
        <v>0</v>
      </c>
      <c r="J46" s="89">
        <f>+I46*H46</f>
        <v>0</v>
      </c>
      <c r="K46" s="635"/>
      <c r="L46" s="638"/>
      <c r="M46" s="640"/>
    </row>
    <row r="47" spans="1:13" ht="15.5">
      <c r="A47" s="85" t="s">
        <v>177</v>
      </c>
      <c r="B47" s="116"/>
      <c r="C47" s="85"/>
      <c r="D47" s="85"/>
      <c r="E47" s="85"/>
      <c r="F47" s="89">
        <v>0</v>
      </c>
      <c r="G47" s="89">
        <v>0</v>
      </c>
      <c r="H47" s="89">
        <v>0</v>
      </c>
      <c r="I47" s="88">
        <v>0</v>
      </c>
      <c r="J47" s="89">
        <f>+I47*H47</f>
        <v>0</v>
      </c>
      <c r="K47" s="635"/>
      <c r="L47" s="638"/>
      <c r="M47" s="640"/>
    </row>
    <row r="48" spans="1:13" ht="15.5">
      <c r="A48" s="90" t="s">
        <v>178</v>
      </c>
      <c r="B48" s="116"/>
      <c r="C48" s="85"/>
      <c r="D48" s="85"/>
      <c r="E48" s="85"/>
      <c r="F48" s="86">
        <v>1</v>
      </c>
      <c r="G48" s="87">
        <v>5</v>
      </c>
      <c r="H48" s="86">
        <v>1</v>
      </c>
      <c r="I48" s="88">
        <f>0.026</f>
        <v>2.5999999999999999E-2</v>
      </c>
      <c r="J48" s="89">
        <f>+I48*H48*G48*F48</f>
        <v>0.13</v>
      </c>
      <c r="K48" s="635"/>
      <c r="L48" s="638"/>
      <c r="M48" s="640"/>
    </row>
    <row r="49" spans="1:13" ht="58.5" customHeight="1">
      <c r="A49" s="103" t="s">
        <v>179</v>
      </c>
      <c r="B49" s="124"/>
      <c r="C49" s="94"/>
      <c r="D49" s="94"/>
      <c r="E49" s="94"/>
      <c r="F49" s="105">
        <v>1</v>
      </c>
      <c r="G49" s="106">
        <v>5</v>
      </c>
      <c r="H49" s="105">
        <v>6</v>
      </c>
      <c r="I49" s="107">
        <f>0.004/6</f>
        <v>6.6666666666666697E-4</v>
      </c>
      <c r="J49" s="98">
        <f>+I49*H49*G49*F49</f>
        <v>0.02</v>
      </c>
      <c r="K49" s="636"/>
      <c r="L49" s="639"/>
      <c r="M49" s="641"/>
    </row>
    <row r="50" spans="1:13" ht="39" customHeight="1">
      <c r="A50" s="244" t="s">
        <v>190</v>
      </c>
      <c r="B50" s="250">
        <v>0</v>
      </c>
      <c r="C50" s="234">
        <v>0</v>
      </c>
      <c r="D50" s="251">
        <v>7.0000000000000007E-2</v>
      </c>
      <c r="E50" s="606" t="s">
        <v>300</v>
      </c>
      <c r="F50" s="246">
        <v>1</v>
      </c>
      <c r="G50" s="247">
        <v>1</v>
      </c>
      <c r="H50" s="246">
        <v>5</v>
      </c>
      <c r="I50" s="248"/>
      <c r="J50" s="239">
        <f>+SUM(J51:J59)</f>
        <v>6.83E-2</v>
      </c>
      <c r="K50" s="609" t="s">
        <v>149</v>
      </c>
      <c r="L50" s="612" t="s">
        <v>311</v>
      </c>
      <c r="M50" s="629" t="s">
        <v>188</v>
      </c>
    </row>
    <row r="51" spans="1:13" ht="15.5">
      <c r="A51" s="102" t="s">
        <v>172</v>
      </c>
      <c r="B51" s="116"/>
      <c r="C51" s="85"/>
      <c r="D51" s="85"/>
      <c r="E51" s="607"/>
      <c r="F51" s="86">
        <v>1</v>
      </c>
      <c r="G51" s="87">
        <v>1</v>
      </c>
      <c r="H51" s="86">
        <v>5</v>
      </c>
      <c r="I51" s="88">
        <v>3.0999999999999999E-3</v>
      </c>
      <c r="J51" s="85">
        <f>+I51*H51*G51*F51</f>
        <v>1.55E-2</v>
      </c>
      <c r="K51" s="610"/>
      <c r="L51" s="613"/>
      <c r="M51" s="640"/>
    </row>
    <row r="52" spans="1:13" ht="15.5">
      <c r="A52" s="85" t="s">
        <v>173</v>
      </c>
      <c r="B52" s="116"/>
      <c r="C52" s="85"/>
      <c r="D52" s="85"/>
      <c r="E52" s="607"/>
      <c r="F52" s="89">
        <v>0</v>
      </c>
      <c r="G52" s="89">
        <v>0</v>
      </c>
      <c r="H52" s="89">
        <v>0</v>
      </c>
      <c r="I52" s="89">
        <v>0</v>
      </c>
      <c r="J52" s="89">
        <v>0</v>
      </c>
      <c r="K52" s="610"/>
      <c r="L52" s="613"/>
      <c r="M52" s="640"/>
    </row>
    <row r="53" spans="1:13" ht="15.5">
      <c r="A53" s="85" t="s">
        <v>174</v>
      </c>
      <c r="B53" s="116"/>
      <c r="C53" s="85"/>
      <c r="D53" s="85"/>
      <c r="E53" s="607"/>
      <c r="F53" s="86">
        <v>1</v>
      </c>
      <c r="G53" s="86">
        <v>1</v>
      </c>
      <c r="H53" s="86">
        <v>4</v>
      </c>
      <c r="I53" s="89">
        <f>0.005</f>
        <v>5.0000000000000001E-3</v>
      </c>
      <c r="J53" s="89">
        <f>+I53*H53*G53*F53</f>
        <v>0.02</v>
      </c>
      <c r="K53" s="610"/>
      <c r="L53" s="613"/>
      <c r="M53" s="640"/>
    </row>
    <row r="54" spans="1:13" ht="15.5">
      <c r="A54" s="85" t="s">
        <v>175</v>
      </c>
      <c r="B54" s="116"/>
      <c r="C54" s="85"/>
      <c r="D54" s="85"/>
      <c r="E54" s="607"/>
      <c r="F54" s="89">
        <v>0</v>
      </c>
      <c r="G54" s="89">
        <v>0</v>
      </c>
      <c r="H54" s="89">
        <v>0</v>
      </c>
      <c r="I54" s="89">
        <v>0</v>
      </c>
      <c r="J54" s="89">
        <f>+I54*H54*G54*F54</f>
        <v>0</v>
      </c>
      <c r="K54" s="610"/>
      <c r="L54" s="613"/>
      <c r="M54" s="640"/>
    </row>
    <row r="55" spans="1:13" ht="15.5">
      <c r="A55" s="85" t="s">
        <v>184</v>
      </c>
      <c r="B55" s="116"/>
      <c r="C55" s="85"/>
      <c r="D55" s="85"/>
      <c r="E55" s="607"/>
      <c r="F55" s="86">
        <v>1</v>
      </c>
      <c r="G55" s="87">
        <v>1</v>
      </c>
      <c r="H55" s="86">
        <v>1</v>
      </c>
      <c r="I55" s="89">
        <f>0.027</f>
        <v>2.7E-2</v>
      </c>
      <c r="J55" s="89">
        <f>+I55*H55*G55*F55</f>
        <v>2.7E-2</v>
      </c>
      <c r="K55" s="610"/>
      <c r="L55" s="613"/>
      <c r="M55" s="640"/>
    </row>
    <row r="56" spans="1:13" ht="15.5">
      <c r="A56" s="85" t="s">
        <v>176</v>
      </c>
      <c r="B56" s="116"/>
      <c r="C56" s="85"/>
      <c r="D56" s="85"/>
      <c r="E56" s="607"/>
      <c r="F56" s="89">
        <v>0</v>
      </c>
      <c r="G56" s="89">
        <v>0</v>
      </c>
      <c r="H56" s="89">
        <v>0</v>
      </c>
      <c r="I56" s="89">
        <v>0</v>
      </c>
      <c r="J56" s="89">
        <f>+I56*H56</f>
        <v>0</v>
      </c>
      <c r="K56" s="610"/>
      <c r="L56" s="613"/>
      <c r="M56" s="640"/>
    </row>
    <row r="57" spans="1:13" ht="15.5">
      <c r="A57" s="85" t="s">
        <v>177</v>
      </c>
      <c r="B57" s="116"/>
      <c r="C57" s="85"/>
      <c r="D57" s="85"/>
      <c r="E57" s="607"/>
      <c r="F57" s="89">
        <v>0</v>
      </c>
      <c r="G57" s="89">
        <v>0</v>
      </c>
      <c r="H57" s="89">
        <v>0</v>
      </c>
      <c r="I57" s="89">
        <v>0</v>
      </c>
      <c r="J57" s="89">
        <f>+I57*H57</f>
        <v>0</v>
      </c>
      <c r="K57" s="610"/>
      <c r="L57" s="613"/>
      <c r="M57" s="640"/>
    </row>
    <row r="58" spans="1:13" ht="15.5">
      <c r="A58" s="90" t="s">
        <v>178</v>
      </c>
      <c r="B58" s="116"/>
      <c r="C58" s="85"/>
      <c r="D58" s="85"/>
      <c r="E58" s="607"/>
      <c r="F58" s="89">
        <v>0</v>
      </c>
      <c r="G58" s="89">
        <v>0</v>
      </c>
      <c r="H58" s="89">
        <v>0</v>
      </c>
      <c r="I58" s="88">
        <v>0</v>
      </c>
      <c r="J58" s="89">
        <f>+I58*H58*G58*F58</f>
        <v>0</v>
      </c>
      <c r="K58" s="610"/>
      <c r="L58" s="613"/>
      <c r="M58" s="640"/>
    </row>
    <row r="59" spans="1:13" ht="89.25" customHeight="1">
      <c r="A59" s="103" t="s">
        <v>179</v>
      </c>
      <c r="B59" s="124"/>
      <c r="C59" s="94"/>
      <c r="D59" s="94"/>
      <c r="E59" s="608"/>
      <c r="F59" s="105">
        <v>1</v>
      </c>
      <c r="G59" s="106">
        <v>1</v>
      </c>
      <c r="H59" s="105">
        <v>5</v>
      </c>
      <c r="I59" s="107">
        <f>0.0058/5</f>
        <v>1.16E-3</v>
      </c>
      <c r="J59" s="98">
        <f>+I59*H59*G59*F59</f>
        <v>5.7999999999999996E-3</v>
      </c>
      <c r="K59" s="611"/>
      <c r="L59" s="614"/>
      <c r="M59" s="641"/>
    </row>
    <row r="60" spans="1:13" ht="39" customHeight="1">
      <c r="A60" s="244" t="s">
        <v>191</v>
      </c>
      <c r="B60" s="245">
        <v>0</v>
      </c>
      <c r="C60" s="245">
        <v>0</v>
      </c>
      <c r="D60" s="249">
        <v>0.14219999999999999</v>
      </c>
      <c r="E60" s="249">
        <v>0.14219999999999999</v>
      </c>
      <c r="F60" s="246">
        <v>1</v>
      </c>
      <c r="G60" s="247">
        <v>2</v>
      </c>
      <c r="H60" s="246">
        <v>5</v>
      </c>
      <c r="I60" s="248"/>
      <c r="J60" s="239">
        <f>+SUM(J61:J68)</f>
        <v>0.21099999999999999</v>
      </c>
      <c r="K60" s="609" t="s">
        <v>150</v>
      </c>
      <c r="L60" s="612" t="s">
        <v>258</v>
      </c>
      <c r="M60" s="648" t="s">
        <v>192</v>
      </c>
    </row>
    <row r="61" spans="1:13" ht="15.5">
      <c r="A61" s="102" t="s">
        <v>172</v>
      </c>
      <c r="B61" s="116"/>
      <c r="C61" s="85"/>
      <c r="D61" s="85"/>
      <c r="E61" s="85"/>
      <c r="F61" s="89">
        <v>0</v>
      </c>
      <c r="G61" s="89">
        <v>0</v>
      </c>
      <c r="H61" s="89">
        <v>0</v>
      </c>
      <c r="I61" s="88">
        <v>0</v>
      </c>
      <c r="J61" s="89">
        <f>+I61*H61</f>
        <v>0</v>
      </c>
      <c r="K61" s="610"/>
      <c r="L61" s="613"/>
      <c r="M61" s="640"/>
    </row>
    <row r="62" spans="1:13" ht="15.5">
      <c r="A62" s="85" t="s">
        <v>173</v>
      </c>
      <c r="B62" s="116"/>
      <c r="C62" s="85"/>
      <c r="D62" s="85"/>
      <c r="E62" s="85"/>
      <c r="F62" s="86">
        <v>1</v>
      </c>
      <c r="G62" s="87">
        <v>2</v>
      </c>
      <c r="H62" s="86">
        <v>5</v>
      </c>
      <c r="I62" s="88">
        <v>2.0999999999999999E-3</v>
      </c>
      <c r="J62" s="116">
        <f>+I62*H62*G62*F62</f>
        <v>2.1000000000000001E-2</v>
      </c>
      <c r="K62" s="610"/>
      <c r="L62" s="613"/>
      <c r="M62" s="640"/>
    </row>
    <row r="63" spans="1:13" ht="15.5">
      <c r="A63" s="85" t="s">
        <v>174</v>
      </c>
      <c r="B63" s="116"/>
      <c r="C63" s="85"/>
      <c r="D63" s="85"/>
      <c r="E63" s="85"/>
      <c r="F63" s="89">
        <v>0</v>
      </c>
      <c r="G63" s="89">
        <v>0</v>
      </c>
      <c r="H63" s="89">
        <v>0</v>
      </c>
      <c r="I63" s="88">
        <v>0</v>
      </c>
      <c r="J63" s="89">
        <f>+I63*H63</f>
        <v>0</v>
      </c>
      <c r="K63" s="610"/>
      <c r="L63" s="613"/>
      <c r="M63" s="640"/>
    </row>
    <row r="64" spans="1:13" ht="15.5">
      <c r="A64" s="85" t="s">
        <v>175</v>
      </c>
      <c r="B64" s="116"/>
      <c r="C64" s="85"/>
      <c r="D64" s="85"/>
      <c r="E64" s="85"/>
      <c r="F64" s="86">
        <v>1</v>
      </c>
      <c r="G64" s="87">
        <v>2</v>
      </c>
      <c r="H64" s="86">
        <v>4</v>
      </c>
      <c r="I64" s="88">
        <f>0.005</f>
        <v>5.0000000000000001E-3</v>
      </c>
      <c r="J64" s="89">
        <f>+I64*H64*G64*F64</f>
        <v>0.04</v>
      </c>
      <c r="K64" s="610"/>
      <c r="L64" s="613"/>
      <c r="M64" s="640"/>
    </row>
    <row r="65" spans="1:13" ht="15.5">
      <c r="A65" s="85" t="s">
        <v>184</v>
      </c>
      <c r="B65" s="116"/>
      <c r="C65" s="85"/>
      <c r="D65" s="85"/>
      <c r="E65" s="85"/>
      <c r="F65" s="86">
        <v>1</v>
      </c>
      <c r="G65" s="87">
        <v>2</v>
      </c>
      <c r="H65" s="86">
        <v>1</v>
      </c>
      <c r="I65" s="88">
        <f>0.045</f>
        <v>4.4999999999999998E-2</v>
      </c>
      <c r="J65" s="89">
        <f>+I65*H65*G65*F65</f>
        <v>0.09</v>
      </c>
      <c r="K65" s="610"/>
      <c r="L65" s="613"/>
      <c r="M65" s="640"/>
    </row>
    <row r="66" spans="1:13" ht="15.5">
      <c r="A66" s="90" t="s">
        <v>178</v>
      </c>
      <c r="B66" s="116"/>
      <c r="C66" s="85"/>
      <c r="D66" s="85"/>
      <c r="E66" s="85"/>
      <c r="F66" s="86">
        <v>1</v>
      </c>
      <c r="G66" s="87">
        <v>2</v>
      </c>
      <c r="H66" s="86">
        <v>1</v>
      </c>
      <c r="I66" s="88">
        <f>0.025</f>
        <v>2.5000000000000001E-2</v>
      </c>
      <c r="J66" s="89">
        <f>+I66*H66*G66*F66</f>
        <v>0.05</v>
      </c>
      <c r="K66" s="610"/>
      <c r="L66" s="613"/>
      <c r="M66" s="640"/>
    </row>
    <row r="67" spans="1:13" ht="15.5">
      <c r="A67" s="85" t="s">
        <v>177</v>
      </c>
      <c r="B67" s="116"/>
      <c r="C67" s="85"/>
      <c r="D67" s="85"/>
      <c r="E67" s="85"/>
      <c r="F67" s="89">
        <v>0</v>
      </c>
      <c r="G67" s="89">
        <v>0</v>
      </c>
      <c r="H67" s="89">
        <v>0</v>
      </c>
      <c r="I67" s="88">
        <v>0</v>
      </c>
      <c r="J67" s="89">
        <f>+I67*H67</f>
        <v>0</v>
      </c>
      <c r="K67" s="610"/>
      <c r="L67" s="613"/>
      <c r="M67" s="640"/>
    </row>
    <row r="68" spans="1:13" ht="57.75" customHeight="1">
      <c r="A68" s="103" t="s">
        <v>179</v>
      </c>
      <c r="B68" s="118"/>
      <c r="C68" s="104"/>
      <c r="D68" s="104"/>
      <c r="E68" s="104"/>
      <c r="F68" s="105">
        <v>1</v>
      </c>
      <c r="G68" s="106">
        <v>2</v>
      </c>
      <c r="H68" s="105">
        <v>5</v>
      </c>
      <c r="I68" s="107">
        <f>0.005/5</f>
        <v>1E-3</v>
      </c>
      <c r="J68" s="98">
        <f>+I68*H68*G68*F68</f>
        <v>0.01</v>
      </c>
      <c r="K68" s="611"/>
      <c r="L68" s="614"/>
      <c r="M68" s="641"/>
    </row>
    <row r="69" spans="1:13" ht="39" customHeight="1">
      <c r="A69" s="244" t="s">
        <v>193</v>
      </c>
      <c r="B69" s="245">
        <v>0</v>
      </c>
      <c r="C69" s="245">
        <v>0</v>
      </c>
      <c r="D69" s="245">
        <v>0</v>
      </c>
      <c r="E69" s="245">
        <v>0</v>
      </c>
      <c r="F69" s="246">
        <v>1</v>
      </c>
      <c r="G69" s="247">
        <v>2</v>
      </c>
      <c r="H69" s="246">
        <v>5</v>
      </c>
      <c r="I69" s="248"/>
      <c r="J69" s="239">
        <f>+SUM(J70:J78)</f>
        <v>0.107</v>
      </c>
      <c r="K69" s="609" t="s">
        <v>150</v>
      </c>
      <c r="L69" s="612" t="s">
        <v>259</v>
      </c>
      <c r="M69" s="648" t="s">
        <v>197</v>
      </c>
    </row>
    <row r="70" spans="1:13" ht="15.5">
      <c r="A70" s="102" t="s">
        <v>172</v>
      </c>
      <c r="B70" s="116"/>
      <c r="C70" s="85"/>
      <c r="D70" s="85"/>
      <c r="E70" s="85"/>
      <c r="F70" s="89">
        <v>0</v>
      </c>
      <c r="G70" s="89">
        <v>0</v>
      </c>
      <c r="H70" s="89">
        <v>0</v>
      </c>
      <c r="I70" s="88">
        <v>0</v>
      </c>
      <c r="J70" s="89">
        <f>+I70*H70</f>
        <v>0</v>
      </c>
      <c r="K70" s="610"/>
      <c r="L70" s="613"/>
      <c r="M70" s="640"/>
    </row>
    <row r="71" spans="1:13" ht="15.5">
      <c r="A71" s="85" t="s">
        <v>173</v>
      </c>
      <c r="B71" s="116"/>
      <c r="C71" s="85"/>
      <c r="D71" s="85"/>
      <c r="E71" s="85"/>
      <c r="F71" s="86">
        <v>1</v>
      </c>
      <c r="G71" s="87">
        <v>2</v>
      </c>
      <c r="H71" s="86">
        <v>5</v>
      </c>
      <c r="I71" s="88">
        <v>2.0999999999999999E-3</v>
      </c>
      <c r="J71" s="85">
        <f>+I71*H71*G71*F71</f>
        <v>2.1000000000000001E-2</v>
      </c>
      <c r="K71" s="610"/>
      <c r="L71" s="613"/>
      <c r="M71" s="640"/>
    </row>
    <row r="72" spans="1:13" ht="15.5">
      <c r="A72" s="85" t="s">
        <v>174</v>
      </c>
      <c r="B72" s="116"/>
      <c r="C72" s="85"/>
      <c r="D72" s="85"/>
      <c r="E72" s="85"/>
      <c r="F72" s="89">
        <v>0</v>
      </c>
      <c r="G72" s="89">
        <v>0</v>
      </c>
      <c r="H72" s="89">
        <v>0</v>
      </c>
      <c r="I72" s="88">
        <v>0</v>
      </c>
      <c r="J72" s="89">
        <f>+I72*H72</f>
        <v>0</v>
      </c>
      <c r="K72" s="610"/>
      <c r="L72" s="613"/>
      <c r="M72" s="640"/>
    </row>
    <row r="73" spans="1:13" ht="15.5">
      <c r="A73" s="85" t="s">
        <v>175</v>
      </c>
      <c r="B73" s="116"/>
      <c r="C73" s="85"/>
      <c r="D73" s="85"/>
      <c r="E73" s="85"/>
      <c r="F73" s="86">
        <v>1</v>
      </c>
      <c r="G73" s="87">
        <v>2</v>
      </c>
      <c r="H73" s="86">
        <v>4</v>
      </c>
      <c r="I73" s="88">
        <f>0.0025</f>
        <v>2.5000000000000001E-3</v>
      </c>
      <c r="J73" s="89">
        <f>+I73*H73*G73*F73</f>
        <v>0.02</v>
      </c>
      <c r="K73" s="610"/>
      <c r="L73" s="613"/>
      <c r="M73" s="640"/>
    </row>
    <row r="74" spans="1:13" ht="15.5">
      <c r="A74" s="85" t="s">
        <v>184</v>
      </c>
      <c r="B74" s="116"/>
      <c r="C74" s="85"/>
      <c r="D74" s="85"/>
      <c r="E74" s="85"/>
      <c r="F74" s="86">
        <v>1</v>
      </c>
      <c r="G74" s="87">
        <v>2</v>
      </c>
      <c r="H74" s="86">
        <v>1</v>
      </c>
      <c r="I74" s="88">
        <f>0.008</f>
        <v>8.0000000000000002E-3</v>
      </c>
      <c r="J74" s="89">
        <f>+I74*H74*G74*F74</f>
        <v>1.6E-2</v>
      </c>
      <c r="K74" s="610"/>
      <c r="L74" s="613"/>
      <c r="M74" s="640"/>
    </row>
    <row r="75" spans="1:13" ht="15.5">
      <c r="A75" s="90" t="s">
        <v>178</v>
      </c>
      <c r="B75" s="116"/>
      <c r="C75" s="85"/>
      <c r="D75" s="85"/>
      <c r="E75" s="85"/>
      <c r="F75" s="86">
        <v>1</v>
      </c>
      <c r="G75" s="87">
        <v>2</v>
      </c>
      <c r="H75" s="86">
        <v>1</v>
      </c>
      <c r="I75" s="88">
        <f>0.025</f>
        <v>2.5000000000000001E-2</v>
      </c>
      <c r="J75" s="89">
        <f>+I75*H75*G75*F75</f>
        <v>0.05</v>
      </c>
      <c r="K75" s="610"/>
      <c r="L75" s="613"/>
      <c r="M75" s="640"/>
    </row>
    <row r="76" spans="1:13" ht="15.5">
      <c r="A76" s="85" t="s">
        <v>176</v>
      </c>
      <c r="B76" s="116"/>
      <c r="C76" s="85"/>
      <c r="D76" s="85"/>
      <c r="E76" s="85"/>
      <c r="F76" s="89">
        <v>0</v>
      </c>
      <c r="G76" s="89">
        <v>0</v>
      </c>
      <c r="H76" s="89">
        <v>0</v>
      </c>
      <c r="I76" s="88">
        <v>0</v>
      </c>
      <c r="J76" s="89">
        <f>+I76*H76</f>
        <v>0</v>
      </c>
      <c r="K76" s="610"/>
      <c r="L76" s="613"/>
      <c r="M76" s="640"/>
    </row>
    <row r="77" spans="1:13" ht="15.5">
      <c r="A77" s="85" t="s">
        <v>177</v>
      </c>
      <c r="B77" s="116"/>
      <c r="C77" s="85"/>
      <c r="D77" s="85"/>
      <c r="E77" s="85"/>
      <c r="F77" s="89">
        <v>0</v>
      </c>
      <c r="G77" s="89">
        <v>0</v>
      </c>
      <c r="H77" s="89">
        <v>0</v>
      </c>
      <c r="I77" s="88">
        <v>0</v>
      </c>
      <c r="J77" s="89">
        <f>+I77*H77</f>
        <v>0</v>
      </c>
      <c r="K77" s="610"/>
      <c r="L77" s="613"/>
      <c r="M77" s="640"/>
    </row>
    <row r="78" spans="1:13" ht="18.75" customHeight="1">
      <c r="A78" s="103" t="s">
        <v>179</v>
      </c>
      <c r="B78" s="118"/>
      <c r="C78" s="104"/>
      <c r="D78" s="104"/>
      <c r="E78" s="104"/>
      <c r="F78" s="122">
        <v>0</v>
      </c>
      <c r="G78" s="122">
        <v>0</v>
      </c>
      <c r="H78" s="122">
        <v>0</v>
      </c>
      <c r="I78" s="125">
        <v>0</v>
      </c>
      <c r="J78" s="122">
        <f>+I78*H78</f>
        <v>0</v>
      </c>
      <c r="K78" s="611"/>
      <c r="L78" s="614"/>
      <c r="M78" s="641"/>
    </row>
    <row r="79" spans="1:13" ht="54" customHeight="1">
      <c r="A79" s="244" t="s">
        <v>194</v>
      </c>
      <c r="B79" s="245">
        <v>0</v>
      </c>
      <c r="C79" s="245">
        <v>0</v>
      </c>
      <c r="D79" s="245">
        <v>0</v>
      </c>
      <c r="E79" s="245">
        <v>0</v>
      </c>
      <c r="F79" s="246">
        <v>1</v>
      </c>
      <c r="G79" s="247">
        <v>1</v>
      </c>
      <c r="H79" s="246">
        <v>6</v>
      </c>
      <c r="I79" s="248"/>
      <c r="J79" s="239">
        <f>+SUM(J80:J88)</f>
        <v>0.1026</v>
      </c>
      <c r="K79" s="609" t="s">
        <v>150</v>
      </c>
      <c r="L79" s="612" t="s">
        <v>195</v>
      </c>
      <c r="M79" s="629" t="s">
        <v>196</v>
      </c>
    </row>
    <row r="80" spans="1:13" ht="15.5">
      <c r="A80" s="102" t="s">
        <v>172</v>
      </c>
      <c r="B80" s="116"/>
      <c r="C80" s="85"/>
      <c r="D80" s="85"/>
      <c r="E80" s="85"/>
      <c r="F80" s="89">
        <v>0</v>
      </c>
      <c r="G80" s="89">
        <v>0</v>
      </c>
      <c r="H80" s="89">
        <v>0</v>
      </c>
      <c r="I80" s="88">
        <v>0</v>
      </c>
      <c r="J80" s="89">
        <f>+I80*H80</f>
        <v>0</v>
      </c>
      <c r="K80" s="610"/>
      <c r="L80" s="613"/>
      <c r="M80" s="640"/>
    </row>
    <row r="81" spans="1:13" ht="15.5">
      <c r="A81" s="85" t="s">
        <v>173</v>
      </c>
      <c r="B81" s="116"/>
      <c r="C81" s="85"/>
      <c r="D81" s="85"/>
      <c r="E81" s="85"/>
      <c r="F81" s="86">
        <v>1</v>
      </c>
      <c r="G81" s="87">
        <v>1</v>
      </c>
      <c r="H81" s="86">
        <v>6</v>
      </c>
      <c r="I81" s="88">
        <v>2.0999999999999999E-3</v>
      </c>
      <c r="J81" s="85">
        <f>+I81*H81*G81*F81</f>
        <v>1.26E-2</v>
      </c>
      <c r="K81" s="610"/>
      <c r="L81" s="613"/>
      <c r="M81" s="640"/>
    </row>
    <row r="82" spans="1:13" ht="15.5">
      <c r="A82" s="85" t="s">
        <v>174</v>
      </c>
      <c r="B82" s="116"/>
      <c r="C82" s="85"/>
      <c r="D82" s="85"/>
      <c r="E82" s="85"/>
      <c r="F82" s="89">
        <v>0</v>
      </c>
      <c r="G82" s="89">
        <v>0</v>
      </c>
      <c r="H82" s="89">
        <v>0</v>
      </c>
      <c r="I82" s="88">
        <v>0</v>
      </c>
      <c r="J82" s="89">
        <f>+I82*H82</f>
        <v>0</v>
      </c>
      <c r="K82" s="610"/>
      <c r="L82" s="613"/>
      <c r="M82" s="640"/>
    </row>
    <row r="83" spans="1:13" ht="15.5">
      <c r="A83" s="85" t="s">
        <v>175</v>
      </c>
      <c r="B83" s="116"/>
      <c r="C83" s="85"/>
      <c r="D83" s="85"/>
      <c r="E83" s="85"/>
      <c r="F83" s="86">
        <v>1</v>
      </c>
      <c r="G83" s="87">
        <v>1</v>
      </c>
      <c r="H83" s="86">
        <v>4</v>
      </c>
      <c r="I83" s="88">
        <f>0.0025</f>
        <v>2.5000000000000001E-3</v>
      </c>
      <c r="J83" s="89">
        <f>+I83*H83*G83*F83</f>
        <v>0.01</v>
      </c>
      <c r="K83" s="610"/>
      <c r="L83" s="613"/>
      <c r="M83" s="640"/>
    </row>
    <row r="84" spans="1:13" ht="15.5">
      <c r="A84" s="127" t="s">
        <v>184</v>
      </c>
      <c r="B84" s="128"/>
      <c r="C84" s="127"/>
      <c r="D84" s="127"/>
      <c r="E84" s="127"/>
      <c r="F84" s="129">
        <v>1</v>
      </c>
      <c r="G84" s="130">
        <v>1</v>
      </c>
      <c r="H84" s="129">
        <v>1</v>
      </c>
      <c r="I84" s="131">
        <f>0.055</f>
        <v>5.5E-2</v>
      </c>
      <c r="J84" s="132">
        <f>+I84*H84*G84*F84</f>
        <v>5.5E-2</v>
      </c>
      <c r="K84" s="610"/>
      <c r="L84" s="613"/>
      <c r="M84" s="640"/>
    </row>
    <row r="85" spans="1:13" s="100" customFormat="1" ht="15.5">
      <c r="A85" s="133" t="s">
        <v>178</v>
      </c>
      <c r="B85" s="128"/>
      <c r="C85" s="127"/>
      <c r="D85" s="127"/>
      <c r="E85" s="127"/>
      <c r="F85" s="129">
        <v>1</v>
      </c>
      <c r="G85" s="130">
        <v>1</v>
      </c>
      <c r="H85" s="129">
        <v>1</v>
      </c>
      <c r="I85" s="131">
        <f>0.025</f>
        <v>2.5000000000000001E-2</v>
      </c>
      <c r="J85" s="132">
        <f>+I85*H85*G85*F85</f>
        <v>2.5000000000000001E-2</v>
      </c>
      <c r="K85" s="610"/>
      <c r="L85" s="613"/>
      <c r="M85" s="640"/>
    </row>
    <row r="86" spans="1:13" ht="15.5">
      <c r="A86" s="127" t="s">
        <v>176</v>
      </c>
      <c r="B86" s="128"/>
      <c r="C86" s="127"/>
      <c r="D86" s="127"/>
      <c r="E86" s="127"/>
      <c r="F86" s="132">
        <v>0</v>
      </c>
      <c r="G86" s="132">
        <v>0</v>
      </c>
      <c r="H86" s="132">
        <v>0</v>
      </c>
      <c r="I86" s="131">
        <v>0</v>
      </c>
      <c r="J86" s="132">
        <f>+I86*H86</f>
        <v>0</v>
      </c>
      <c r="K86" s="610"/>
      <c r="L86" s="613"/>
      <c r="M86" s="640"/>
    </row>
    <row r="87" spans="1:13" ht="15.5">
      <c r="A87" s="127" t="s">
        <v>177</v>
      </c>
      <c r="B87" s="128"/>
      <c r="C87" s="127"/>
      <c r="D87" s="127"/>
      <c r="E87" s="127"/>
      <c r="F87" s="132">
        <v>0</v>
      </c>
      <c r="G87" s="132">
        <v>0</v>
      </c>
      <c r="H87" s="132">
        <v>0</v>
      </c>
      <c r="I87" s="131">
        <v>0</v>
      </c>
      <c r="J87" s="132">
        <f>+I87*H87</f>
        <v>0</v>
      </c>
      <c r="K87" s="610"/>
      <c r="L87" s="613"/>
      <c r="M87" s="640"/>
    </row>
    <row r="88" spans="1:13" ht="18.75" customHeight="1">
      <c r="A88" s="103" t="s">
        <v>179</v>
      </c>
      <c r="B88" s="118"/>
      <c r="C88" s="104"/>
      <c r="D88" s="104"/>
      <c r="E88" s="104"/>
      <c r="F88" s="122">
        <v>0</v>
      </c>
      <c r="G88" s="122">
        <v>0</v>
      </c>
      <c r="H88" s="122">
        <v>0</v>
      </c>
      <c r="I88" s="125">
        <v>0</v>
      </c>
      <c r="J88" s="122">
        <f>+I88*H88</f>
        <v>0</v>
      </c>
      <c r="K88" s="611"/>
      <c r="L88" s="614"/>
      <c r="M88" s="641"/>
    </row>
    <row r="89" spans="1:13" ht="57.75" customHeight="1">
      <c r="A89" s="244" t="s">
        <v>293</v>
      </c>
      <c r="B89" s="245">
        <v>0</v>
      </c>
      <c r="C89" s="245">
        <v>0</v>
      </c>
      <c r="D89" s="245">
        <v>0</v>
      </c>
      <c r="E89" s="245">
        <v>0</v>
      </c>
      <c r="F89" s="246">
        <v>1</v>
      </c>
      <c r="G89" s="247">
        <v>5</v>
      </c>
      <c r="H89" s="246">
        <v>6</v>
      </c>
      <c r="I89" s="248"/>
      <c r="J89" s="239">
        <f>+SUM(J90:J99)</f>
        <v>0.57720000000000005</v>
      </c>
      <c r="K89" s="609" t="s">
        <v>150</v>
      </c>
      <c r="L89" s="612" t="s">
        <v>198</v>
      </c>
      <c r="M89" s="629" t="s">
        <v>200</v>
      </c>
    </row>
    <row r="90" spans="1:13" ht="15.5">
      <c r="A90" s="102" t="s">
        <v>172</v>
      </c>
      <c r="B90" s="116"/>
      <c r="C90" s="85"/>
      <c r="D90" s="85"/>
      <c r="E90" s="85"/>
      <c r="F90" s="86">
        <v>1</v>
      </c>
      <c r="G90" s="87">
        <v>3</v>
      </c>
      <c r="H90" s="86">
        <v>6</v>
      </c>
      <c r="I90" s="88">
        <v>3.0999999999999999E-3</v>
      </c>
      <c r="J90" s="85">
        <f t="shared" ref="J90:J96" si="2">+I90*H90*G90*F90</f>
        <v>5.5800000000000002E-2</v>
      </c>
      <c r="K90" s="610"/>
      <c r="L90" s="613"/>
      <c r="M90" s="640"/>
    </row>
    <row r="91" spans="1:13" ht="15.5">
      <c r="A91" s="85" t="s">
        <v>173</v>
      </c>
      <c r="B91" s="116"/>
      <c r="C91" s="85"/>
      <c r="D91" s="85"/>
      <c r="E91" s="134"/>
      <c r="F91" s="86">
        <v>1</v>
      </c>
      <c r="G91" s="87">
        <v>2</v>
      </c>
      <c r="H91" s="86">
        <v>6</v>
      </c>
      <c r="I91" s="88">
        <v>2.0999999999999999E-3</v>
      </c>
      <c r="J91" s="85">
        <f t="shared" si="2"/>
        <v>2.52E-2</v>
      </c>
      <c r="K91" s="610"/>
      <c r="L91" s="613"/>
      <c r="M91" s="640"/>
    </row>
    <row r="92" spans="1:13" ht="15.5">
      <c r="A92" s="85" t="s">
        <v>174</v>
      </c>
      <c r="B92" s="116"/>
      <c r="C92" s="85"/>
      <c r="D92" s="85"/>
      <c r="E92" s="134"/>
      <c r="F92" s="86">
        <v>1</v>
      </c>
      <c r="G92" s="87">
        <v>1</v>
      </c>
      <c r="H92" s="86">
        <v>5</v>
      </c>
      <c r="I92" s="88">
        <v>7.0000000000000001E-3</v>
      </c>
      <c r="J92" s="116">
        <f t="shared" si="2"/>
        <v>3.5000000000000003E-2</v>
      </c>
      <c r="K92" s="610"/>
      <c r="L92" s="613"/>
      <c r="M92" s="640"/>
    </row>
    <row r="93" spans="1:13" ht="15.5">
      <c r="A93" s="85" t="s">
        <v>174</v>
      </c>
      <c r="B93" s="116"/>
      <c r="C93" s="85"/>
      <c r="D93" s="85"/>
      <c r="E93" s="134"/>
      <c r="F93" s="86">
        <v>1</v>
      </c>
      <c r="G93" s="87">
        <v>2</v>
      </c>
      <c r="H93" s="86">
        <v>5</v>
      </c>
      <c r="I93" s="88">
        <v>4.0000000000000001E-3</v>
      </c>
      <c r="J93" s="116">
        <f t="shared" si="2"/>
        <v>0.04</v>
      </c>
      <c r="K93" s="610"/>
      <c r="L93" s="613"/>
      <c r="M93" s="640"/>
    </row>
    <row r="94" spans="1:13" ht="15.5">
      <c r="A94" s="85" t="s">
        <v>175</v>
      </c>
      <c r="B94" s="116"/>
      <c r="C94" s="85"/>
      <c r="D94" s="85"/>
      <c r="E94" s="134"/>
      <c r="F94" s="86">
        <v>1</v>
      </c>
      <c r="G94" s="87">
        <v>2</v>
      </c>
      <c r="H94" s="86">
        <v>5</v>
      </c>
      <c r="I94" s="88">
        <v>4.0000000000000001E-3</v>
      </c>
      <c r="J94" s="89">
        <f t="shared" si="2"/>
        <v>0.04</v>
      </c>
      <c r="K94" s="610"/>
      <c r="L94" s="613"/>
      <c r="M94" s="640"/>
    </row>
    <row r="95" spans="1:13" ht="15.5">
      <c r="A95" s="85" t="s">
        <v>184</v>
      </c>
      <c r="B95" s="116"/>
      <c r="C95" s="85"/>
      <c r="D95" s="85"/>
      <c r="E95" s="134"/>
      <c r="F95" s="86">
        <v>1</v>
      </c>
      <c r="G95" s="87">
        <v>5</v>
      </c>
      <c r="H95" s="86">
        <v>1</v>
      </c>
      <c r="I95" s="88">
        <f>0.0309</f>
        <v>3.09E-2</v>
      </c>
      <c r="J95" s="89">
        <f t="shared" si="2"/>
        <v>0.1545</v>
      </c>
      <c r="K95" s="610"/>
      <c r="L95" s="613"/>
      <c r="M95" s="640"/>
    </row>
    <row r="96" spans="1:13" s="100" customFormat="1" ht="15.5">
      <c r="A96" s="90" t="s">
        <v>178</v>
      </c>
      <c r="B96" s="135"/>
      <c r="C96" s="136"/>
      <c r="D96" s="136"/>
      <c r="E96" s="137"/>
      <c r="F96" s="86">
        <v>1</v>
      </c>
      <c r="G96" s="87">
        <v>5</v>
      </c>
      <c r="H96" s="86">
        <v>1</v>
      </c>
      <c r="I96" s="88">
        <f>0.04</f>
        <v>0.04</v>
      </c>
      <c r="J96" s="89">
        <f t="shared" si="2"/>
        <v>0.2</v>
      </c>
      <c r="K96" s="610"/>
      <c r="L96" s="613"/>
      <c r="M96" s="640"/>
    </row>
    <row r="97" spans="1:13" ht="15.5">
      <c r="A97" s="85" t="s">
        <v>176</v>
      </c>
      <c r="B97" s="116"/>
      <c r="C97" s="85"/>
      <c r="D97" s="85"/>
      <c r="E97" s="134"/>
      <c r="F97" s="89">
        <v>0</v>
      </c>
      <c r="G97" s="89">
        <v>0</v>
      </c>
      <c r="H97" s="89">
        <v>0</v>
      </c>
      <c r="I97" s="88">
        <v>0</v>
      </c>
      <c r="J97" s="89">
        <f>+I97*H97</f>
        <v>0</v>
      </c>
      <c r="K97" s="610"/>
      <c r="L97" s="613"/>
      <c r="M97" s="640"/>
    </row>
    <row r="98" spans="1:13" ht="15.5">
      <c r="A98" s="85" t="s">
        <v>177</v>
      </c>
      <c r="B98" s="116"/>
      <c r="C98" s="85"/>
      <c r="D98" s="85"/>
      <c r="E98" s="134"/>
      <c r="F98" s="89">
        <v>0</v>
      </c>
      <c r="G98" s="89">
        <v>0</v>
      </c>
      <c r="H98" s="89">
        <v>0</v>
      </c>
      <c r="I98" s="88">
        <v>0</v>
      </c>
      <c r="J98" s="89">
        <f>+I98*H98</f>
        <v>0</v>
      </c>
      <c r="K98" s="610"/>
      <c r="L98" s="613"/>
      <c r="M98" s="640"/>
    </row>
    <row r="99" spans="1:13" ht="18.75" customHeight="1">
      <c r="A99" s="103" t="s">
        <v>179</v>
      </c>
      <c r="B99" s="118"/>
      <c r="C99" s="104"/>
      <c r="D99" s="104"/>
      <c r="E99" s="138"/>
      <c r="F99" s="95">
        <v>1</v>
      </c>
      <c r="G99" s="96">
        <v>5</v>
      </c>
      <c r="H99" s="95">
        <v>6</v>
      </c>
      <c r="I99" s="139">
        <v>8.8999999999999995E-4</v>
      </c>
      <c r="J99" s="140">
        <f>+I99*H99*G99*F99</f>
        <v>2.6700000000000002E-2</v>
      </c>
      <c r="K99" s="611"/>
      <c r="L99" s="614"/>
      <c r="M99" s="641"/>
    </row>
    <row r="100" spans="1:13" ht="55.5" customHeight="1">
      <c r="A100" s="244" t="s">
        <v>199</v>
      </c>
      <c r="B100" s="245">
        <v>0</v>
      </c>
      <c r="C100" s="245">
        <v>0</v>
      </c>
      <c r="D100" s="245">
        <v>0</v>
      </c>
      <c r="E100" s="245">
        <v>0</v>
      </c>
      <c r="F100" s="246">
        <v>1</v>
      </c>
      <c r="G100" s="247">
        <v>2</v>
      </c>
      <c r="H100" s="246">
        <v>5</v>
      </c>
      <c r="I100" s="248"/>
      <c r="J100" s="239">
        <f>+SUM(J101:J109)</f>
        <v>0.125</v>
      </c>
      <c r="K100" s="609" t="s">
        <v>150</v>
      </c>
      <c r="L100" s="612" t="s">
        <v>202</v>
      </c>
      <c r="M100" s="629" t="s">
        <v>201</v>
      </c>
    </row>
    <row r="101" spans="1:13" ht="15.5">
      <c r="A101" s="102" t="s">
        <v>172</v>
      </c>
      <c r="B101" s="116"/>
      <c r="C101" s="85"/>
      <c r="D101" s="85"/>
      <c r="E101" s="85"/>
      <c r="F101" s="89">
        <v>0</v>
      </c>
      <c r="G101" s="89">
        <v>0</v>
      </c>
      <c r="H101" s="89">
        <v>0</v>
      </c>
      <c r="I101" s="88">
        <v>0</v>
      </c>
      <c r="J101" s="85">
        <f t="shared" ref="J101:J106" si="3">+I101*H101*G101*F101</f>
        <v>0</v>
      </c>
      <c r="K101" s="610"/>
      <c r="L101" s="613"/>
      <c r="M101" s="640"/>
    </row>
    <row r="102" spans="1:13" ht="15.5">
      <c r="A102" s="85" t="s">
        <v>173</v>
      </c>
      <c r="B102" s="116"/>
      <c r="C102" s="85"/>
      <c r="D102" s="85"/>
      <c r="E102" s="134"/>
      <c r="F102" s="86">
        <v>1</v>
      </c>
      <c r="G102" s="87">
        <v>2</v>
      </c>
      <c r="H102" s="86">
        <v>5</v>
      </c>
      <c r="I102" s="88">
        <v>2.0999999999999999E-3</v>
      </c>
      <c r="J102" s="85">
        <f t="shared" si="3"/>
        <v>2.1000000000000001E-2</v>
      </c>
      <c r="K102" s="610"/>
      <c r="L102" s="613"/>
      <c r="M102" s="640"/>
    </row>
    <row r="103" spans="1:13" ht="15.5">
      <c r="A103" s="85" t="s">
        <v>174</v>
      </c>
      <c r="B103" s="116"/>
      <c r="C103" s="85"/>
      <c r="D103" s="85"/>
      <c r="E103" s="134"/>
      <c r="F103" s="89">
        <v>0</v>
      </c>
      <c r="G103" s="89">
        <v>0</v>
      </c>
      <c r="H103" s="89">
        <v>0</v>
      </c>
      <c r="I103" s="88">
        <v>0</v>
      </c>
      <c r="J103" s="116">
        <f t="shared" si="3"/>
        <v>0</v>
      </c>
      <c r="K103" s="610"/>
      <c r="L103" s="613"/>
      <c r="M103" s="640"/>
    </row>
    <row r="104" spans="1:13" ht="15.5">
      <c r="A104" s="85" t="s">
        <v>175</v>
      </c>
      <c r="B104" s="116"/>
      <c r="C104" s="85"/>
      <c r="D104" s="85"/>
      <c r="E104" s="134"/>
      <c r="F104" s="86">
        <v>1</v>
      </c>
      <c r="G104" s="87">
        <v>2</v>
      </c>
      <c r="H104" s="86">
        <v>4</v>
      </c>
      <c r="I104" s="88">
        <v>3.0000000000000001E-3</v>
      </c>
      <c r="J104" s="89">
        <f t="shared" si="3"/>
        <v>2.4E-2</v>
      </c>
      <c r="K104" s="610"/>
      <c r="L104" s="613"/>
      <c r="M104" s="640"/>
    </row>
    <row r="105" spans="1:13" ht="15.5">
      <c r="A105" s="85" t="s">
        <v>184</v>
      </c>
      <c r="B105" s="116"/>
      <c r="C105" s="85"/>
      <c r="D105" s="85"/>
      <c r="E105" s="134"/>
      <c r="F105" s="86">
        <v>1</v>
      </c>
      <c r="G105" s="87">
        <v>2</v>
      </c>
      <c r="H105" s="86">
        <v>1</v>
      </c>
      <c r="I105" s="88">
        <f>0.02</f>
        <v>0.02</v>
      </c>
      <c r="J105" s="89">
        <f t="shared" si="3"/>
        <v>0.04</v>
      </c>
      <c r="K105" s="610"/>
      <c r="L105" s="613"/>
      <c r="M105" s="640"/>
    </row>
    <row r="106" spans="1:13" s="100" customFormat="1" ht="15.5">
      <c r="A106" s="90" t="s">
        <v>178</v>
      </c>
      <c r="B106" s="135"/>
      <c r="C106" s="136"/>
      <c r="D106" s="136"/>
      <c r="E106" s="137"/>
      <c r="F106" s="86">
        <v>1</v>
      </c>
      <c r="G106" s="87">
        <v>2</v>
      </c>
      <c r="H106" s="86">
        <v>1</v>
      </c>
      <c r="I106" s="88">
        <f>0.015</f>
        <v>1.4999999999999999E-2</v>
      </c>
      <c r="J106" s="89">
        <f t="shared" si="3"/>
        <v>0.03</v>
      </c>
      <c r="K106" s="610"/>
      <c r="L106" s="613"/>
      <c r="M106" s="640"/>
    </row>
    <row r="107" spans="1:13" ht="15.5">
      <c r="A107" s="85" t="s">
        <v>176</v>
      </c>
      <c r="B107" s="116"/>
      <c r="C107" s="85"/>
      <c r="D107" s="85"/>
      <c r="E107" s="134"/>
      <c r="F107" s="89">
        <v>0</v>
      </c>
      <c r="G107" s="89">
        <v>0</v>
      </c>
      <c r="H107" s="89">
        <v>0</v>
      </c>
      <c r="I107" s="88">
        <v>0</v>
      </c>
      <c r="J107" s="89">
        <f>+I107*H107</f>
        <v>0</v>
      </c>
      <c r="K107" s="610"/>
      <c r="L107" s="613"/>
      <c r="M107" s="640"/>
    </row>
    <row r="108" spans="1:13" ht="15.5">
      <c r="A108" s="85" t="s">
        <v>177</v>
      </c>
      <c r="B108" s="116"/>
      <c r="C108" s="85"/>
      <c r="D108" s="85"/>
      <c r="E108" s="134"/>
      <c r="F108" s="89">
        <v>0</v>
      </c>
      <c r="G108" s="89">
        <v>0</v>
      </c>
      <c r="H108" s="89">
        <v>0</v>
      </c>
      <c r="I108" s="88">
        <v>0</v>
      </c>
      <c r="J108" s="89">
        <f>+I108*H108</f>
        <v>0</v>
      </c>
      <c r="K108" s="610"/>
      <c r="L108" s="613"/>
      <c r="M108" s="640"/>
    </row>
    <row r="109" spans="1:13" ht="18.75" customHeight="1">
      <c r="A109" s="103" t="s">
        <v>179</v>
      </c>
      <c r="B109" s="118"/>
      <c r="C109" s="104"/>
      <c r="D109" s="104"/>
      <c r="E109" s="138"/>
      <c r="F109" s="95">
        <v>1</v>
      </c>
      <c r="G109" s="96">
        <v>2</v>
      </c>
      <c r="H109" s="95">
        <v>5</v>
      </c>
      <c r="I109" s="139">
        <v>1E-3</v>
      </c>
      <c r="J109" s="140">
        <f>+I109*H109*G109*F109</f>
        <v>0.01</v>
      </c>
      <c r="K109" s="611"/>
      <c r="L109" s="614"/>
      <c r="M109" s="641"/>
    </row>
    <row r="110" spans="1:13" ht="60" customHeight="1">
      <c r="A110" s="244" t="s">
        <v>294</v>
      </c>
      <c r="B110" s="245">
        <v>0</v>
      </c>
      <c r="C110" s="245">
        <v>0</v>
      </c>
      <c r="D110" s="245">
        <v>0</v>
      </c>
      <c r="E110" s="245">
        <v>0</v>
      </c>
      <c r="F110" s="246">
        <v>1</v>
      </c>
      <c r="G110" s="247">
        <v>1</v>
      </c>
      <c r="H110" s="246">
        <v>6</v>
      </c>
      <c r="I110" s="248"/>
      <c r="J110" s="239">
        <f>+SUM(J111:J119)</f>
        <v>0.12959999999999999</v>
      </c>
      <c r="K110" s="609" t="s">
        <v>150</v>
      </c>
      <c r="L110" s="612" t="s">
        <v>257</v>
      </c>
      <c r="M110" s="629" t="s">
        <v>203</v>
      </c>
    </row>
    <row r="111" spans="1:13" ht="15.5">
      <c r="A111" s="102" t="s">
        <v>172</v>
      </c>
      <c r="B111" s="116"/>
      <c r="C111" s="85"/>
      <c r="D111" s="85"/>
      <c r="E111" s="85"/>
      <c r="F111" s="89">
        <v>0</v>
      </c>
      <c r="G111" s="89">
        <v>0</v>
      </c>
      <c r="H111" s="89">
        <v>0</v>
      </c>
      <c r="I111" s="88">
        <v>0</v>
      </c>
      <c r="J111" s="89">
        <f>+I111*H111</f>
        <v>0</v>
      </c>
      <c r="K111" s="610"/>
      <c r="L111" s="613"/>
      <c r="M111" s="640"/>
    </row>
    <row r="112" spans="1:13" ht="15.5">
      <c r="A112" s="85" t="s">
        <v>173</v>
      </c>
      <c r="B112" s="116"/>
      <c r="C112" s="85"/>
      <c r="D112" s="85"/>
      <c r="E112" s="134"/>
      <c r="F112" s="86">
        <v>1</v>
      </c>
      <c r="G112" s="87">
        <v>1</v>
      </c>
      <c r="H112" s="86">
        <v>6</v>
      </c>
      <c r="I112" s="88">
        <v>2.0999999999999999E-3</v>
      </c>
      <c r="J112" s="85">
        <f>+I112*H112*G112*F112</f>
        <v>1.26E-2</v>
      </c>
      <c r="K112" s="610"/>
      <c r="L112" s="613"/>
      <c r="M112" s="640"/>
    </row>
    <row r="113" spans="1:13" ht="15.5">
      <c r="A113" s="85" t="s">
        <v>174</v>
      </c>
      <c r="B113" s="116"/>
      <c r="C113" s="85"/>
      <c r="D113" s="85"/>
      <c r="E113" s="134"/>
      <c r="F113" s="89">
        <v>0</v>
      </c>
      <c r="G113" s="89">
        <v>0</v>
      </c>
      <c r="H113" s="89">
        <v>0</v>
      </c>
      <c r="I113" s="88">
        <v>0</v>
      </c>
      <c r="J113" s="89">
        <f>+I113*H113</f>
        <v>0</v>
      </c>
      <c r="K113" s="610"/>
      <c r="L113" s="613"/>
      <c r="M113" s="640"/>
    </row>
    <row r="114" spans="1:13" ht="15.5">
      <c r="A114" s="85" t="s">
        <v>175</v>
      </c>
      <c r="B114" s="116"/>
      <c r="C114" s="85"/>
      <c r="D114" s="85"/>
      <c r="E114" s="134"/>
      <c r="F114" s="86">
        <v>1</v>
      </c>
      <c r="G114" s="87">
        <v>1</v>
      </c>
      <c r="H114" s="86">
        <v>5</v>
      </c>
      <c r="I114" s="88">
        <v>5.0000000000000001E-3</v>
      </c>
      <c r="J114" s="89">
        <f>+I114*H114*G114*F114</f>
        <v>2.5000000000000001E-2</v>
      </c>
      <c r="K114" s="610"/>
      <c r="L114" s="613"/>
      <c r="M114" s="640"/>
    </row>
    <row r="115" spans="1:13" ht="15.5">
      <c r="A115" s="85" t="s">
        <v>184</v>
      </c>
      <c r="B115" s="116"/>
      <c r="C115" s="85"/>
      <c r="D115" s="85"/>
      <c r="E115" s="134"/>
      <c r="F115" s="86">
        <v>1</v>
      </c>
      <c r="G115" s="87">
        <v>1</v>
      </c>
      <c r="H115" s="86">
        <v>1</v>
      </c>
      <c r="I115" s="88">
        <f>0.052</f>
        <v>5.1999999999999998E-2</v>
      </c>
      <c r="J115" s="89">
        <f>+I115*H115*G115*F115</f>
        <v>5.1999999999999998E-2</v>
      </c>
      <c r="K115" s="610"/>
      <c r="L115" s="613"/>
      <c r="M115" s="640"/>
    </row>
    <row r="116" spans="1:13" s="100" customFormat="1" ht="15.5">
      <c r="A116" s="90" t="s">
        <v>178</v>
      </c>
      <c r="B116" s="135"/>
      <c r="C116" s="136"/>
      <c r="D116" s="136"/>
      <c r="E116" s="137"/>
      <c r="F116" s="86">
        <v>1</v>
      </c>
      <c r="G116" s="87">
        <v>1</v>
      </c>
      <c r="H116" s="86">
        <v>1</v>
      </c>
      <c r="I116" s="88">
        <f>0.035</f>
        <v>3.5000000000000003E-2</v>
      </c>
      <c r="J116" s="89">
        <f>+I116*H116*G116*F116</f>
        <v>3.5000000000000003E-2</v>
      </c>
      <c r="K116" s="610"/>
      <c r="L116" s="613"/>
      <c r="M116" s="640"/>
    </row>
    <row r="117" spans="1:13" ht="15.5">
      <c r="A117" s="85" t="s">
        <v>176</v>
      </c>
      <c r="B117" s="116"/>
      <c r="C117" s="85"/>
      <c r="D117" s="85"/>
      <c r="E117" s="134"/>
      <c r="F117" s="89">
        <v>0</v>
      </c>
      <c r="G117" s="89">
        <v>0</v>
      </c>
      <c r="H117" s="89">
        <v>0</v>
      </c>
      <c r="I117" s="88">
        <v>0</v>
      </c>
      <c r="J117" s="89">
        <f>+I117*H117</f>
        <v>0</v>
      </c>
      <c r="K117" s="610"/>
      <c r="L117" s="613"/>
      <c r="M117" s="640"/>
    </row>
    <row r="118" spans="1:13" ht="15.5">
      <c r="A118" s="85" t="s">
        <v>177</v>
      </c>
      <c r="B118" s="116"/>
      <c r="C118" s="85"/>
      <c r="D118" s="85"/>
      <c r="E118" s="134"/>
      <c r="F118" s="89">
        <v>0</v>
      </c>
      <c r="G118" s="89">
        <v>0</v>
      </c>
      <c r="H118" s="89">
        <v>0</v>
      </c>
      <c r="I118" s="88">
        <v>0</v>
      </c>
      <c r="J118" s="89">
        <f>+I118*H118</f>
        <v>0</v>
      </c>
      <c r="K118" s="610"/>
      <c r="L118" s="613"/>
      <c r="M118" s="640"/>
    </row>
    <row r="119" spans="1:13" ht="18.75" customHeight="1">
      <c r="A119" s="103" t="s">
        <v>179</v>
      </c>
      <c r="B119" s="118"/>
      <c r="C119" s="104"/>
      <c r="D119" s="104"/>
      <c r="E119" s="138"/>
      <c r="F119" s="95">
        <v>1</v>
      </c>
      <c r="G119" s="96">
        <v>1</v>
      </c>
      <c r="H119" s="95">
        <v>6</v>
      </c>
      <c r="I119" s="139">
        <v>8.3333333333333295E-4</v>
      </c>
      <c r="J119" s="122">
        <f>+I119*H119*G119*F119</f>
        <v>5.0000000000000001E-3</v>
      </c>
      <c r="K119" s="611"/>
      <c r="L119" s="614"/>
      <c r="M119" s="641"/>
    </row>
    <row r="120" spans="1:13" ht="39.75" customHeight="1">
      <c r="A120" s="244" t="s">
        <v>295</v>
      </c>
      <c r="B120" s="245">
        <v>0</v>
      </c>
      <c r="C120" s="245">
        <v>0</v>
      </c>
      <c r="D120" s="245">
        <v>0</v>
      </c>
      <c r="E120" s="245">
        <v>0</v>
      </c>
      <c r="F120" s="246">
        <v>1</v>
      </c>
      <c r="G120" s="247">
        <v>1</v>
      </c>
      <c r="H120" s="246">
        <v>5</v>
      </c>
      <c r="I120" s="248"/>
      <c r="J120" s="239">
        <f>+SUM(J121:J129)</f>
        <v>0.11550000000000001</v>
      </c>
      <c r="K120" s="609" t="s">
        <v>150</v>
      </c>
      <c r="L120" s="612" t="s">
        <v>312</v>
      </c>
      <c r="M120" s="629" t="s">
        <v>204</v>
      </c>
    </row>
    <row r="121" spans="1:13" ht="15.5">
      <c r="A121" s="102" t="s">
        <v>172</v>
      </c>
      <c r="B121" s="116"/>
      <c r="C121" s="85"/>
      <c r="D121" s="85"/>
      <c r="E121" s="85"/>
      <c r="F121" s="86">
        <v>1</v>
      </c>
      <c r="G121" s="87">
        <v>1</v>
      </c>
      <c r="H121" s="86">
        <v>5</v>
      </c>
      <c r="I121" s="88">
        <v>3.0999999999999999E-3</v>
      </c>
      <c r="J121" s="85">
        <f>+I121*H121*G121*F121</f>
        <v>1.55E-2</v>
      </c>
      <c r="K121" s="610"/>
      <c r="L121" s="613"/>
      <c r="M121" s="640"/>
    </row>
    <row r="122" spans="1:13" ht="15.5">
      <c r="A122" s="85" t="s">
        <v>173</v>
      </c>
      <c r="B122" s="116"/>
      <c r="C122" s="85"/>
      <c r="D122" s="85"/>
      <c r="E122" s="134"/>
      <c r="F122" s="89">
        <v>0</v>
      </c>
      <c r="G122" s="89">
        <v>0</v>
      </c>
      <c r="H122" s="89">
        <v>0</v>
      </c>
      <c r="I122" s="88">
        <v>0</v>
      </c>
      <c r="J122" s="89">
        <f>+I122*H122</f>
        <v>0</v>
      </c>
      <c r="K122" s="610"/>
      <c r="L122" s="613"/>
      <c r="M122" s="640"/>
    </row>
    <row r="123" spans="1:13" ht="15.5">
      <c r="A123" s="85" t="s">
        <v>174</v>
      </c>
      <c r="B123" s="116"/>
      <c r="C123" s="85"/>
      <c r="D123" s="85"/>
      <c r="E123" s="134"/>
      <c r="F123" s="86">
        <v>1</v>
      </c>
      <c r="G123" s="87">
        <v>1</v>
      </c>
      <c r="H123" s="86">
        <v>4</v>
      </c>
      <c r="I123" s="88">
        <v>7.4999999999999997E-3</v>
      </c>
      <c r="J123" s="116">
        <f>+I123*H123*G123*F123</f>
        <v>0.03</v>
      </c>
      <c r="K123" s="610"/>
      <c r="L123" s="613"/>
      <c r="M123" s="640"/>
    </row>
    <row r="124" spans="1:13" ht="15.5">
      <c r="A124" s="85" t="s">
        <v>175</v>
      </c>
      <c r="B124" s="116"/>
      <c r="C124" s="85"/>
      <c r="D124" s="85"/>
      <c r="E124" s="134"/>
      <c r="F124" s="89">
        <v>0</v>
      </c>
      <c r="G124" s="89">
        <v>0</v>
      </c>
      <c r="H124" s="89">
        <v>0</v>
      </c>
      <c r="I124" s="88">
        <v>0</v>
      </c>
      <c r="J124" s="89">
        <f>+I124*H124</f>
        <v>0</v>
      </c>
      <c r="K124" s="610"/>
      <c r="L124" s="613"/>
      <c r="M124" s="640"/>
    </row>
    <row r="125" spans="1:13" ht="15.5">
      <c r="A125" s="85" t="s">
        <v>184</v>
      </c>
      <c r="B125" s="116"/>
      <c r="C125" s="85"/>
      <c r="D125" s="85"/>
      <c r="E125" s="134"/>
      <c r="F125" s="86">
        <v>1</v>
      </c>
      <c r="G125" s="87">
        <v>1</v>
      </c>
      <c r="H125" s="86">
        <v>1</v>
      </c>
      <c r="I125" s="88">
        <f>0.065</f>
        <v>6.5000000000000002E-2</v>
      </c>
      <c r="J125" s="89">
        <f>+I125*H125*G125*F125</f>
        <v>6.5000000000000002E-2</v>
      </c>
      <c r="K125" s="610"/>
      <c r="L125" s="613"/>
      <c r="M125" s="640"/>
    </row>
    <row r="126" spans="1:13" s="100" customFormat="1" ht="15.5">
      <c r="A126" s="90" t="s">
        <v>178</v>
      </c>
      <c r="B126" s="135"/>
      <c r="C126" s="136"/>
      <c r="D126" s="136"/>
      <c r="E126" s="137"/>
      <c r="F126" s="89">
        <v>0</v>
      </c>
      <c r="G126" s="89">
        <v>0</v>
      </c>
      <c r="H126" s="89">
        <v>0</v>
      </c>
      <c r="I126" s="88">
        <v>0</v>
      </c>
      <c r="J126" s="89">
        <f>+I126*H126*G126*F126</f>
        <v>0</v>
      </c>
      <c r="K126" s="610"/>
      <c r="L126" s="613"/>
      <c r="M126" s="640"/>
    </row>
    <row r="127" spans="1:13" ht="15.5">
      <c r="A127" s="85" t="s">
        <v>176</v>
      </c>
      <c r="B127" s="116"/>
      <c r="C127" s="85"/>
      <c r="D127" s="85"/>
      <c r="E127" s="134"/>
      <c r="F127" s="89">
        <v>0</v>
      </c>
      <c r="G127" s="89">
        <v>0</v>
      </c>
      <c r="H127" s="89">
        <v>0</v>
      </c>
      <c r="I127" s="88">
        <v>0</v>
      </c>
      <c r="J127" s="89">
        <f>+I127*H127</f>
        <v>0</v>
      </c>
      <c r="K127" s="610"/>
      <c r="L127" s="613"/>
      <c r="M127" s="640"/>
    </row>
    <row r="128" spans="1:13" ht="15.5">
      <c r="A128" s="85" t="s">
        <v>177</v>
      </c>
      <c r="B128" s="116"/>
      <c r="C128" s="85"/>
      <c r="D128" s="85"/>
      <c r="E128" s="134"/>
      <c r="F128" s="89">
        <v>0</v>
      </c>
      <c r="G128" s="89">
        <v>0</v>
      </c>
      <c r="H128" s="89">
        <v>0</v>
      </c>
      <c r="I128" s="88">
        <v>0</v>
      </c>
      <c r="J128" s="89">
        <f>+I128*H128</f>
        <v>0</v>
      </c>
      <c r="K128" s="610"/>
      <c r="L128" s="613"/>
      <c r="M128" s="640"/>
    </row>
    <row r="129" spans="1:13" ht="18.75" customHeight="1">
      <c r="A129" s="103" t="s">
        <v>179</v>
      </c>
      <c r="B129" s="118"/>
      <c r="C129" s="104"/>
      <c r="D129" s="104"/>
      <c r="E129" s="138"/>
      <c r="F129" s="95">
        <v>1</v>
      </c>
      <c r="G129" s="96">
        <v>1</v>
      </c>
      <c r="H129" s="95">
        <v>5</v>
      </c>
      <c r="I129" s="139">
        <v>1E-3</v>
      </c>
      <c r="J129" s="140">
        <f>+I129*H129*G129*F129</f>
        <v>5.0000000000000001E-3</v>
      </c>
      <c r="K129" s="611"/>
      <c r="L129" s="614"/>
      <c r="M129" s="641"/>
    </row>
    <row r="130" spans="1:13" s="224" customFormat="1" ht="46.5">
      <c r="A130" s="194" t="s">
        <v>304</v>
      </c>
      <c r="B130" s="218"/>
      <c r="C130" s="218"/>
      <c r="D130" s="218"/>
      <c r="E130" s="209"/>
      <c r="F130" s="195"/>
      <c r="G130" s="195"/>
      <c r="H130" s="195"/>
      <c r="I130" s="195"/>
      <c r="J130" s="222">
        <f>+J131</f>
        <v>7.3757000000000001</v>
      </c>
      <c r="K130" s="220"/>
      <c r="L130" s="195"/>
      <c r="M130" s="195"/>
    </row>
    <row r="131" spans="1:13" s="224" customFormat="1" ht="75.75" customHeight="1">
      <c r="A131" s="190" t="s">
        <v>305</v>
      </c>
      <c r="B131" s="225">
        <f>+B133+B142+B157+B166+B178+B187+B196+B205+B215+B225+B236+B247+B258+B269+B280+B289+B300+B309+B320+B330+B341+B352+B364+B376+B385+B395+B405+B415+B425+B436</f>
        <v>4.5932000000000004</v>
      </c>
      <c r="C131" s="225">
        <f>+C133+C142+C157+C166+C178+C187+C196+C205+C215+C225+C236+C247+C258+C269+C280+C289+C300+C309+C320+C330+C341+C352+C364+C376+C385+C395+C405+C415+C425+C436</f>
        <v>3.8259340000000002</v>
      </c>
      <c r="D131" s="225">
        <f>+D133+D142+D157+D166+D178+D187+D196+D205+D215+D225+D236+D247+D258+D269+D280+D289+D300+D309+D320+D330+D341+D352+D364+D376+D385+D395+D405+D415+D425+D436</f>
        <v>4.2416999999999998</v>
      </c>
      <c r="E131" s="226"/>
      <c r="F131" s="191"/>
      <c r="G131" s="191"/>
      <c r="H131" s="191"/>
      <c r="I131" s="191"/>
      <c r="J131" s="225">
        <f>+J133+J142+J157+J166+J178+J187+J196+J205+J215+J225+J236+J247+J258+J269+J280+J289+J300+J309+J320+J330+J341+J352+J364+J376+J385+J395+J405+J415+J425+J436</f>
        <v>7.3757000000000001</v>
      </c>
      <c r="K131" s="221"/>
      <c r="L131" s="191"/>
      <c r="M131" s="210"/>
    </row>
    <row r="132" spans="1:13" ht="15.5">
      <c r="A132" s="112" t="s">
        <v>170</v>
      </c>
      <c r="B132" s="115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</row>
    <row r="133" spans="1:13" ht="43.5" customHeight="1">
      <c r="A133" s="199" t="s">
        <v>206</v>
      </c>
      <c r="B133" s="233">
        <v>0.1779</v>
      </c>
      <c r="C133" s="233">
        <v>0.121752</v>
      </c>
      <c r="D133" s="233">
        <v>0.13500000000000001</v>
      </c>
      <c r="E133" s="240">
        <v>0.13045000000000001</v>
      </c>
      <c r="F133" s="241">
        <v>1</v>
      </c>
      <c r="G133" s="242">
        <v>1</v>
      </c>
      <c r="H133" s="241">
        <v>11</v>
      </c>
      <c r="I133" s="243"/>
      <c r="J133" s="239">
        <f>+SUM(J134:J141)</f>
        <v>0.1239</v>
      </c>
      <c r="K133" s="609" t="s">
        <v>149</v>
      </c>
      <c r="L133" s="612" t="s">
        <v>256</v>
      </c>
      <c r="M133" s="618" t="s">
        <v>237</v>
      </c>
    </row>
    <row r="134" spans="1:13" ht="15.5">
      <c r="A134" s="102" t="s">
        <v>172</v>
      </c>
      <c r="B134" s="116"/>
      <c r="C134" s="85"/>
      <c r="D134" s="85"/>
      <c r="E134" s="85"/>
      <c r="F134" s="86">
        <v>0</v>
      </c>
      <c r="G134" s="87">
        <v>0</v>
      </c>
      <c r="H134" s="86">
        <v>0</v>
      </c>
      <c r="I134" s="88">
        <v>0</v>
      </c>
      <c r="J134" s="89">
        <f>+I134*H134*G134</f>
        <v>0</v>
      </c>
      <c r="K134" s="610"/>
      <c r="L134" s="613"/>
      <c r="M134" s="619"/>
    </row>
    <row r="135" spans="1:13" ht="15.5">
      <c r="A135" s="85" t="s">
        <v>173</v>
      </c>
      <c r="B135" s="116"/>
      <c r="C135" s="85"/>
      <c r="D135" s="85"/>
      <c r="E135" s="85"/>
      <c r="F135" s="86">
        <v>1</v>
      </c>
      <c r="G135" s="87">
        <v>1</v>
      </c>
      <c r="H135" s="86">
        <v>11</v>
      </c>
      <c r="I135" s="88">
        <v>2.0999999999999999E-3</v>
      </c>
      <c r="J135" s="89">
        <f t="shared" ref="J135:J141" si="4">+I135*H135*G135*F135</f>
        <v>2.3099999999999999E-2</v>
      </c>
      <c r="K135" s="610"/>
      <c r="L135" s="613"/>
      <c r="M135" s="619"/>
    </row>
    <row r="136" spans="1:13" ht="15.5">
      <c r="A136" s="85" t="s">
        <v>174</v>
      </c>
      <c r="B136" s="116"/>
      <c r="C136" s="85"/>
      <c r="D136" s="85"/>
      <c r="E136" s="85"/>
      <c r="F136" s="86">
        <v>0</v>
      </c>
      <c r="G136" s="87">
        <v>0</v>
      </c>
      <c r="H136" s="86">
        <v>0</v>
      </c>
      <c r="I136" s="88">
        <v>0</v>
      </c>
      <c r="J136" s="89">
        <f t="shared" si="4"/>
        <v>0</v>
      </c>
      <c r="K136" s="610"/>
      <c r="L136" s="613"/>
      <c r="M136" s="619"/>
    </row>
    <row r="137" spans="1:13" ht="15.5">
      <c r="A137" s="85" t="s">
        <v>175</v>
      </c>
      <c r="B137" s="116"/>
      <c r="C137" s="85"/>
      <c r="D137" s="85"/>
      <c r="E137" s="85"/>
      <c r="F137" s="86">
        <v>1</v>
      </c>
      <c r="G137" s="87">
        <v>1</v>
      </c>
      <c r="H137" s="86">
        <v>9</v>
      </c>
      <c r="I137" s="88">
        <v>5.0000000000000001E-3</v>
      </c>
      <c r="J137" s="89">
        <f t="shared" si="4"/>
        <v>4.4999999999999998E-2</v>
      </c>
      <c r="K137" s="610"/>
      <c r="L137" s="613"/>
      <c r="M137" s="619"/>
    </row>
    <row r="138" spans="1:13" ht="15.5">
      <c r="A138" s="85" t="s">
        <v>184</v>
      </c>
      <c r="B138" s="116"/>
      <c r="C138" s="85"/>
      <c r="D138" s="85"/>
      <c r="E138" s="85"/>
      <c r="F138" s="86">
        <v>1</v>
      </c>
      <c r="G138" s="87">
        <v>1</v>
      </c>
      <c r="H138" s="86">
        <v>1</v>
      </c>
      <c r="I138" s="88">
        <v>4.4999999999999998E-2</v>
      </c>
      <c r="J138" s="89">
        <f t="shared" si="4"/>
        <v>4.4999999999999998E-2</v>
      </c>
      <c r="K138" s="610"/>
      <c r="L138" s="613"/>
      <c r="M138" s="619"/>
    </row>
    <row r="139" spans="1:13" ht="15.5">
      <c r="A139" s="85" t="s">
        <v>176</v>
      </c>
      <c r="B139" s="116"/>
      <c r="C139" s="85"/>
      <c r="D139" s="85"/>
      <c r="E139" s="85"/>
      <c r="F139" s="86">
        <v>0</v>
      </c>
      <c r="G139" s="87">
        <v>0</v>
      </c>
      <c r="H139" s="86">
        <v>0</v>
      </c>
      <c r="I139" s="88">
        <v>0</v>
      </c>
      <c r="J139" s="89">
        <f t="shared" si="4"/>
        <v>0</v>
      </c>
      <c r="K139" s="610"/>
      <c r="L139" s="613"/>
      <c r="M139" s="619"/>
    </row>
    <row r="140" spans="1:13" ht="15.5">
      <c r="A140" s="85" t="s">
        <v>177</v>
      </c>
      <c r="B140" s="116"/>
      <c r="C140" s="85"/>
      <c r="D140" s="85"/>
      <c r="E140" s="85"/>
      <c r="F140" s="86">
        <v>0</v>
      </c>
      <c r="G140" s="87">
        <v>0</v>
      </c>
      <c r="H140" s="86">
        <v>0</v>
      </c>
      <c r="I140" s="88">
        <v>0</v>
      </c>
      <c r="J140" s="89">
        <f t="shared" si="4"/>
        <v>0</v>
      </c>
      <c r="K140" s="610"/>
      <c r="L140" s="613"/>
      <c r="M140" s="619"/>
    </row>
    <row r="141" spans="1:13" ht="15.5">
      <c r="A141" s="104" t="s">
        <v>179</v>
      </c>
      <c r="B141" s="118"/>
      <c r="C141" s="104"/>
      <c r="D141" s="104"/>
      <c r="E141" s="104"/>
      <c r="F141" s="95">
        <v>1</v>
      </c>
      <c r="G141" s="96">
        <v>1</v>
      </c>
      <c r="H141" s="95">
        <v>11</v>
      </c>
      <c r="I141" s="142">
        <f>0.0108/11</f>
        <v>9.8181818181818201E-4</v>
      </c>
      <c r="J141" s="94">
        <f t="shared" si="4"/>
        <v>1.0800000000000001E-2</v>
      </c>
      <c r="K141" s="611"/>
      <c r="L141" s="614"/>
      <c r="M141" s="620"/>
    </row>
    <row r="142" spans="1:13" ht="59.25" customHeight="1">
      <c r="A142" s="257" t="s">
        <v>207</v>
      </c>
      <c r="B142" s="250">
        <v>1.1100000000000001</v>
      </c>
      <c r="C142" s="258">
        <v>0.87528499999999998</v>
      </c>
      <c r="D142" s="252">
        <v>0.93500000000000005</v>
      </c>
      <c r="E142" s="259" t="s">
        <v>208</v>
      </c>
      <c r="F142" s="260">
        <v>1</v>
      </c>
      <c r="G142" s="261">
        <v>6</v>
      </c>
      <c r="H142" s="260">
        <v>10</v>
      </c>
      <c r="I142" s="262"/>
      <c r="J142" s="263">
        <f>+SUM(J143:J155)</f>
        <v>0.86850000000000005</v>
      </c>
      <c r="K142" s="609" t="s">
        <v>149</v>
      </c>
      <c r="L142" s="612" t="s">
        <v>255</v>
      </c>
      <c r="M142" s="618" t="s">
        <v>238</v>
      </c>
    </row>
    <row r="143" spans="1:13" ht="15.5">
      <c r="A143" s="102" t="s">
        <v>172</v>
      </c>
      <c r="B143" s="116"/>
      <c r="C143" s="85"/>
      <c r="D143" s="85"/>
      <c r="E143" s="85"/>
      <c r="F143" s="86">
        <v>1</v>
      </c>
      <c r="G143" s="87">
        <v>2</v>
      </c>
      <c r="H143" s="86">
        <v>7</v>
      </c>
      <c r="I143" s="88">
        <v>3.0999999999999999E-3</v>
      </c>
      <c r="J143" s="89">
        <f t="shared" ref="J143:J155" si="5">+I143*H143*G143*F143</f>
        <v>4.3400000000000001E-2</v>
      </c>
      <c r="K143" s="610"/>
      <c r="L143" s="613"/>
      <c r="M143" s="619"/>
    </row>
    <row r="144" spans="1:13" ht="15.5">
      <c r="A144" s="102" t="s">
        <v>172</v>
      </c>
      <c r="B144" s="116"/>
      <c r="C144" s="85"/>
      <c r="D144" s="85"/>
      <c r="E144" s="85"/>
      <c r="F144" s="86">
        <v>1</v>
      </c>
      <c r="G144" s="87">
        <v>1</v>
      </c>
      <c r="H144" s="86">
        <v>5</v>
      </c>
      <c r="I144" s="88">
        <v>3.0999999999999999E-3</v>
      </c>
      <c r="J144" s="89">
        <f t="shared" si="5"/>
        <v>1.55E-2</v>
      </c>
      <c r="K144" s="610"/>
      <c r="L144" s="613"/>
      <c r="M144" s="619"/>
    </row>
    <row r="145" spans="1:13" ht="15.5">
      <c r="A145" s="85" t="s">
        <v>173</v>
      </c>
      <c r="B145" s="116"/>
      <c r="C145" s="85"/>
      <c r="D145" s="85"/>
      <c r="E145" s="85"/>
      <c r="F145" s="86">
        <v>1</v>
      </c>
      <c r="G145" s="87">
        <v>3</v>
      </c>
      <c r="H145" s="86">
        <v>10</v>
      </c>
      <c r="I145" s="88">
        <v>2.0999999999999999E-3</v>
      </c>
      <c r="J145" s="89">
        <f t="shared" si="5"/>
        <v>6.3E-2</v>
      </c>
      <c r="K145" s="610"/>
      <c r="L145" s="613"/>
      <c r="M145" s="619"/>
    </row>
    <row r="146" spans="1:13" ht="15.5">
      <c r="A146" s="85" t="s">
        <v>174</v>
      </c>
      <c r="B146" s="116"/>
      <c r="C146" s="85"/>
      <c r="D146" s="85"/>
      <c r="E146" s="85"/>
      <c r="F146" s="86">
        <v>1</v>
      </c>
      <c r="G146" s="87">
        <v>2</v>
      </c>
      <c r="H146" s="86">
        <v>7</v>
      </c>
      <c r="I146" s="88">
        <v>8.0000000000000002E-3</v>
      </c>
      <c r="J146" s="89">
        <f t="shared" si="5"/>
        <v>0.112</v>
      </c>
      <c r="K146" s="610"/>
      <c r="L146" s="613"/>
      <c r="M146" s="619"/>
    </row>
    <row r="147" spans="1:13" ht="15.5">
      <c r="A147" s="85" t="s">
        <v>174</v>
      </c>
      <c r="B147" s="116"/>
      <c r="C147" s="85"/>
      <c r="D147" s="85"/>
      <c r="E147" s="85"/>
      <c r="F147" s="86">
        <v>1</v>
      </c>
      <c r="G147" s="87">
        <v>1</v>
      </c>
      <c r="H147" s="86">
        <v>4</v>
      </c>
      <c r="I147" s="88">
        <v>7.0000000000000001E-3</v>
      </c>
      <c r="J147" s="89">
        <f t="shared" si="5"/>
        <v>2.8000000000000001E-2</v>
      </c>
      <c r="K147" s="610"/>
      <c r="L147" s="613"/>
      <c r="M147" s="619"/>
    </row>
    <row r="148" spans="1:13" ht="15.5">
      <c r="A148" s="85" t="s">
        <v>175</v>
      </c>
      <c r="B148" s="116"/>
      <c r="C148" s="85"/>
      <c r="D148" s="85"/>
      <c r="E148" s="85"/>
      <c r="F148" s="86">
        <v>1</v>
      </c>
      <c r="G148" s="87">
        <v>3</v>
      </c>
      <c r="H148" s="86">
        <v>9</v>
      </c>
      <c r="I148" s="88">
        <v>5.0000000000000001E-3</v>
      </c>
      <c r="J148" s="89">
        <f t="shared" si="5"/>
        <v>0.13500000000000001</v>
      </c>
      <c r="K148" s="610"/>
      <c r="L148" s="613"/>
      <c r="M148" s="619"/>
    </row>
    <row r="149" spans="1:13" ht="15.5">
      <c r="A149" s="85" t="s">
        <v>184</v>
      </c>
      <c r="B149" s="116"/>
      <c r="C149" s="85"/>
      <c r="D149" s="85"/>
      <c r="E149" s="85"/>
      <c r="F149" s="86">
        <v>1</v>
      </c>
      <c r="G149" s="87">
        <v>2</v>
      </c>
      <c r="H149" s="86">
        <v>1</v>
      </c>
      <c r="I149" s="88">
        <v>0.1187</v>
      </c>
      <c r="J149" s="89">
        <f t="shared" si="5"/>
        <v>0.2374</v>
      </c>
      <c r="K149" s="610"/>
      <c r="L149" s="613"/>
      <c r="M149" s="619"/>
    </row>
    <row r="150" spans="1:13" ht="15.5">
      <c r="A150" s="85" t="s">
        <v>184</v>
      </c>
      <c r="B150" s="116"/>
      <c r="C150" s="85"/>
      <c r="D150" s="85"/>
      <c r="E150" s="85"/>
      <c r="F150" s="86">
        <v>1</v>
      </c>
      <c r="G150" s="87">
        <v>4</v>
      </c>
      <c r="H150" s="86">
        <v>1</v>
      </c>
      <c r="I150" s="88">
        <v>4.4999999999999998E-2</v>
      </c>
      <c r="J150" s="89">
        <f t="shared" si="5"/>
        <v>0.18</v>
      </c>
      <c r="K150" s="610"/>
      <c r="L150" s="613"/>
      <c r="M150" s="619"/>
    </row>
    <row r="151" spans="1:13" ht="15.5">
      <c r="A151" s="85" t="s">
        <v>176</v>
      </c>
      <c r="B151" s="116"/>
      <c r="C151" s="85"/>
      <c r="D151" s="85"/>
      <c r="E151" s="85"/>
      <c r="F151" s="89">
        <v>0</v>
      </c>
      <c r="G151" s="89">
        <v>0</v>
      </c>
      <c r="H151" s="89">
        <v>0</v>
      </c>
      <c r="I151" s="88">
        <v>0</v>
      </c>
      <c r="J151" s="89">
        <f t="shared" si="5"/>
        <v>0</v>
      </c>
      <c r="K151" s="610"/>
      <c r="L151" s="613"/>
      <c r="M151" s="619"/>
    </row>
    <row r="152" spans="1:13" ht="15.5">
      <c r="A152" s="85" t="s">
        <v>177</v>
      </c>
      <c r="B152" s="116"/>
      <c r="C152" s="85"/>
      <c r="D152" s="85"/>
      <c r="E152" s="85"/>
      <c r="F152" s="89">
        <v>0</v>
      </c>
      <c r="G152" s="89">
        <v>0</v>
      </c>
      <c r="H152" s="89">
        <v>0</v>
      </c>
      <c r="I152" s="88">
        <v>0</v>
      </c>
      <c r="J152" s="89">
        <f t="shared" si="5"/>
        <v>0</v>
      </c>
      <c r="K152" s="610"/>
      <c r="L152" s="613"/>
      <c r="M152" s="619"/>
    </row>
    <row r="153" spans="1:13" ht="22.5" customHeight="1">
      <c r="A153" s="85" t="s">
        <v>209</v>
      </c>
      <c r="B153" s="116"/>
      <c r="C153" s="85"/>
      <c r="D153" s="85"/>
      <c r="E153" s="85"/>
      <c r="F153" s="86">
        <v>1</v>
      </c>
      <c r="G153" s="87">
        <v>2</v>
      </c>
      <c r="H153" s="86">
        <v>7</v>
      </c>
      <c r="I153" s="143">
        <f>0.0079/7</f>
        <v>1.12857142857143E-3</v>
      </c>
      <c r="J153" s="85">
        <f t="shared" si="5"/>
        <v>1.5800000000000002E-2</v>
      </c>
      <c r="K153" s="610"/>
      <c r="L153" s="613"/>
      <c r="M153" s="619"/>
    </row>
    <row r="154" spans="1:13" ht="22.5" customHeight="1">
      <c r="A154" s="85" t="s">
        <v>211</v>
      </c>
      <c r="B154" s="116"/>
      <c r="C154" s="85"/>
      <c r="D154" s="85"/>
      <c r="E154" s="85"/>
      <c r="F154" s="86">
        <v>1</v>
      </c>
      <c r="G154" s="87">
        <v>3</v>
      </c>
      <c r="H154" s="86">
        <v>10</v>
      </c>
      <c r="I154" s="143">
        <f>0.0108/10</f>
        <v>1.08E-3</v>
      </c>
      <c r="J154" s="85">
        <f t="shared" si="5"/>
        <v>3.2399999999999998E-2</v>
      </c>
      <c r="K154" s="610"/>
      <c r="L154" s="613"/>
      <c r="M154" s="619"/>
    </row>
    <row r="155" spans="1:13" ht="22.5" customHeight="1">
      <c r="A155" s="85" t="s">
        <v>210</v>
      </c>
      <c r="B155" s="116"/>
      <c r="C155" s="85"/>
      <c r="D155" s="85"/>
      <c r="E155" s="85"/>
      <c r="F155" s="86">
        <v>1</v>
      </c>
      <c r="G155" s="87">
        <v>1</v>
      </c>
      <c r="H155" s="86">
        <v>5</v>
      </c>
      <c r="I155" s="143">
        <f>0.006/5</f>
        <v>1.1999999999999999E-3</v>
      </c>
      <c r="J155" s="85">
        <f t="shared" si="5"/>
        <v>6.0000000000000001E-3</v>
      </c>
      <c r="K155" s="610"/>
      <c r="L155" s="613"/>
      <c r="M155" s="619"/>
    </row>
    <row r="156" spans="1:13" ht="38.25" customHeight="1">
      <c r="A156" s="94"/>
      <c r="B156" s="124"/>
      <c r="C156" s="94"/>
      <c r="D156" s="94"/>
      <c r="E156" s="94"/>
      <c r="F156" s="95"/>
      <c r="G156" s="96"/>
      <c r="H156" s="95"/>
      <c r="I156" s="142"/>
      <c r="J156" s="94"/>
      <c r="K156" s="611"/>
      <c r="L156" s="614"/>
      <c r="M156" s="620"/>
    </row>
    <row r="157" spans="1:13" ht="40.5" customHeight="1">
      <c r="A157" s="199" t="s">
        <v>212</v>
      </c>
      <c r="B157" s="245">
        <v>0</v>
      </c>
      <c r="C157" s="245">
        <v>0</v>
      </c>
      <c r="D157" s="259">
        <v>9.0800000000000006E-2</v>
      </c>
      <c r="E157" s="252">
        <v>8.2396999999999998E-2</v>
      </c>
      <c r="F157" s="241">
        <v>1</v>
      </c>
      <c r="G157" s="242">
        <v>2</v>
      </c>
      <c r="H157" s="241">
        <v>3</v>
      </c>
      <c r="I157" s="243"/>
      <c r="J157" s="239">
        <f>+SUM(J158:J165)</f>
        <v>8.8700000000000001E-2</v>
      </c>
      <c r="K157" s="634" t="s">
        <v>167</v>
      </c>
      <c r="L157" s="612" t="s">
        <v>309</v>
      </c>
      <c r="M157" s="618" t="s">
        <v>239</v>
      </c>
    </row>
    <row r="158" spans="1:13" ht="15.5">
      <c r="A158" s="102" t="s">
        <v>172</v>
      </c>
      <c r="B158" s="116"/>
      <c r="C158" s="85"/>
      <c r="D158" s="85"/>
      <c r="E158" s="85"/>
      <c r="F158" s="86">
        <v>1</v>
      </c>
      <c r="G158" s="87">
        <v>1</v>
      </c>
      <c r="H158" s="86">
        <v>3</v>
      </c>
      <c r="I158" s="88">
        <v>3.0999999999999999E-3</v>
      </c>
      <c r="J158" s="89">
        <f>+I158*H158*G158</f>
        <v>9.2999999999999992E-3</v>
      </c>
      <c r="K158" s="635"/>
      <c r="L158" s="613"/>
      <c r="M158" s="619"/>
    </row>
    <row r="159" spans="1:13" ht="15.5">
      <c r="A159" s="85" t="s">
        <v>173</v>
      </c>
      <c r="B159" s="116"/>
      <c r="C159" s="85"/>
      <c r="D159" s="85"/>
      <c r="E159" s="85"/>
      <c r="F159" s="86">
        <v>1</v>
      </c>
      <c r="G159" s="87">
        <v>1</v>
      </c>
      <c r="H159" s="86">
        <v>3</v>
      </c>
      <c r="I159" s="88">
        <v>2.0999999999999999E-3</v>
      </c>
      <c r="J159" s="89">
        <f t="shared" ref="J159:J165" si="6">+I159*H159*G159*F159</f>
        <v>6.3E-3</v>
      </c>
      <c r="K159" s="635"/>
      <c r="L159" s="613"/>
      <c r="M159" s="619"/>
    </row>
    <row r="160" spans="1:13" ht="15.5">
      <c r="A160" s="85" t="s">
        <v>174</v>
      </c>
      <c r="B160" s="116"/>
      <c r="C160" s="85"/>
      <c r="D160" s="85"/>
      <c r="E160" s="85"/>
      <c r="F160" s="86">
        <v>1</v>
      </c>
      <c r="G160" s="87">
        <v>1</v>
      </c>
      <c r="H160" s="86">
        <v>3</v>
      </c>
      <c r="I160" s="88">
        <v>7.4999999999999997E-3</v>
      </c>
      <c r="J160" s="89">
        <f t="shared" si="6"/>
        <v>2.2499999999999999E-2</v>
      </c>
      <c r="K160" s="635"/>
      <c r="L160" s="613"/>
      <c r="M160" s="619"/>
    </row>
    <row r="161" spans="1:13" ht="15.5">
      <c r="A161" s="85" t="s">
        <v>175</v>
      </c>
      <c r="B161" s="116"/>
      <c r="C161" s="85"/>
      <c r="D161" s="85"/>
      <c r="E161" s="85"/>
      <c r="F161" s="86">
        <v>1</v>
      </c>
      <c r="G161" s="87">
        <v>1</v>
      </c>
      <c r="H161" s="86">
        <v>3</v>
      </c>
      <c r="I161" s="88">
        <v>5.0000000000000001E-3</v>
      </c>
      <c r="J161" s="89">
        <f t="shared" si="6"/>
        <v>1.4999999999999999E-2</v>
      </c>
      <c r="K161" s="635"/>
      <c r="L161" s="613"/>
      <c r="M161" s="619"/>
    </row>
    <row r="162" spans="1:13" ht="15.5">
      <c r="A162" s="85" t="s">
        <v>184</v>
      </c>
      <c r="B162" s="116"/>
      <c r="C162" s="85"/>
      <c r="D162" s="85"/>
      <c r="E162" s="85"/>
      <c r="F162" s="86">
        <v>1</v>
      </c>
      <c r="G162" s="87">
        <v>2</v>
      </c>
      <c r="H162" s="86">
        <v>1</v>
      </c>
      <c r="I162" s="88">
        <v>1.4E-2</v>
      </c>
      <c r="J162" s="89">
        <f t="shared" si="6"/>
        <v>2.8000000000000001E-2</v>
      </c>
      <c r="K162" s="635"/>
      <c r="L162" s="613"/>
      <c r="M162" s="619"/>
    </row>
    <row r="163" spans="1:13" ht="15.5">
      <c r="A163" s="85" t="s">
        <v>176</v>
      </c>
      <c r="B163" s="116"/>
      <c r="C163" s="85"/>
      <c r="D163" s="85"/>
      <c r="E163" s="85"/>
      <c r="F163" s="89">
        <v>0</v>
      </c>
      <c r="G163" s="89">
        <v>0</v>
      </c>
      <c r="H163" s="89">
        <v>0</v>
      </c>
      <c r="I163" s="89">
        <v>0</v>
      </c>
      <c r="J163" s="89">
        <f t="shared" si="6"/>
        <v>0</v>
      </c>
      <c r="K163" s="635"/>
      <c r="L163" s="613"/>
      <c r="M163" s="619"/>
    </row>
    <row r="164" spans="1:13" ht="15.5">
      <c r="A164" s="85" t="s">
        <v>177</v>
      </c>
      <c r="B164" s="116"/>
      <c r="C164" s="85"/>
      <c r="D164" s="85"/>
      <c r="E164" s="85"/>
      <c r="F164" s="89">
        <v>0</v>
      </c>
      <c r="G164" s="89">
        <v>0</v>
      </c>
      <c r="H164" s="89">
        <v>0</v>
      </c>
      <c r="I164" s="89">
        <v>0</v>
      </c>
      <c r="J164" s="89">
        <f t="shared" si="6"/>
        <v>0</v>
      </c>
      <c r="K164" s="635"/>
      <c r="L164" s="613"/>
      <c r="M164" s="619"/>
    </row>
    <row r="165" spans="1:13" ht="15.5">
      <c r="A165" s="104" t="s">
        <v>179</v>
      </c>
      <c r="B165" s="118"/>
      <c r="C165" s="104"/>
      <c r="D165" s="104"/>
      <c r="E165" s="104"/>
      <c r="F165" s="105">
        <v>1</v>
      </c>
      <c r="G165" s="106">
        <v>2</v>
      </c>
      <c r="H165" s="105">
        <v>3</v>
      </c>
      <c r="I165" s="144">
        <f>0.0038/3</f>
        <v>1.2666666666666701E-3</v>
      </c>
      <c r="J165" s="145">
        <f t="shared" si="6"/>
        <v>7.6E-3</v>
      </c>
      <c r="K165" s="636"/>
      <c r="L165" s="614"/>
      <c r="M165" s="620"/>
    </row>
    <row r="166" spans="1:13" ht="57" customHeight="1">
      <c r="A166" s="264" t="s">
        <v>213</v>
      </c>
      <c r="B166" s="265">
        <v>0.51770000000000005</v>
      </c>
      <c r="C166" s="266">
        <v>0.49613099999999999</v>
      </c>
      <c r="D166" s="249">
        <v>9.2399999999999996E-2</v>
      </c>
      <c r="E166" s="240" t="s">
        <v>208</v>
      </c>
      <c r="F166" s="246">
        <v>1</v>
      </c>
      <c r="G166" s="247">
        <v>8</v>
      </c>
      <c r="H166" s="246">
        <v>4</v>
      </c>
      <c r="I166" s="267"/>
      <c r="J166" s="239">
        <f>+SUM(J167:J177)</f>
        <v>0.37080000000000002</v>
      </c>
      <c r="K166" s="609" t="s">
        <v>149</v>
      </c>
      <c r="L166" s="612" t="s">
        <v>214</v>
      </c>
      <c r="M166" s="618" t="s">
        <v>240</v>
      </c>
    </row>
    <row r="167" spans="1:13" ht="15.5">
      <c r="A167" s="102" t="s">
        <v>172</v>
      </c>
      <c r="B167" s="116"/>
      <c r="C167" s="85"/>
      <c r="D167" s="85"/>
      <c r="E167" s="85"/>
      <c r="F167" s="86">
        <v>1</v>
      </c>
      <c r="G167" s="87">
        <v>7</v>
      </c>
      <c r="H167" s="86">
        <v>4</v>
      </c>
      <c r="I167" s="88">
        <v>3.0999999999999999E-3</v>
      </c>
      <c r="J167" s="89">
        <f>+I167*H167*G167</f>
        <v>8.6800000000000002E-2</v>
      </c>
      <c r="K167" s="610"/>
      <c r="L167" s="613"/>
      <c r="M167" s="619"/>
    </row>
    <row r="168" spans="1:13" ht="15.5">
      <c r="A168" s="85" t="s">
        <v>173</v>
      </c>
      <c r="B168" s="116"/>
      <c r="C168" s="85"/>
      <c r="D168" s="85"/>
      <c r="E168" s="85"/>
      <c r="F168" s="86">
        <v>1</v>
      </c>
      <c r="G168" s="87">
        <v>1</v>
      </c>
      <c r="H168" s="86">
        <v>4</v>
      </c>
      <c r="I168" s="88">
        <v>2.0999999999999999E-3</v>
      </c>
      <c r="J168" s="89">
        <f t="shared" ref="J168:J177" si="7">+I168*H168*G168*F168</f>
        <v>8.3999999999999995E-3</v>
      </c>
      <c r="K168" s="610"/>
      <c r="L168" s="613"/>
      <c r="M168" s="619"/>
    </row>
    <row r="169" spans="1:13" ht="15.5">
      <c r="A169" s="85" t="s">
        <v>174</v>
      </c>
      <c r="B169" s="116"/>
      <c r="C169" s="85"/>
      <c r="D169" s="85"/>
      <c r="E169" s="85"/>
      <c r="F169" s="86">
        <v>1</v>
      </c>
      <c r="G169" s="87">
        <v>2</v>
      </c>
      <c r="H169" s="86">
        <v>3</v>
      </c>
      <c r="I169" s="88">
        <v>5.0000000000000001E-3</v>
      </c>
      <c r="J169" s="89">
        <f t="shared" si="7"/>
        <v>0.03</v>
      </c>
      <c r="K169" s="610"/>
      <c r="L169" s="613"/>
      <c r="M169" s="619"/>
    </row>
    <row r="170" spans="1:13" ht="15.5">
      <c r="A170" s="85" t="s">
        <v>174</v>
      </c>
      <c r="B170" s="116"/>
      <c r="C170" s="85"/>
      <c r="D170" s="85"/>
      <c r="E170" s="85"/>
      <c r="F170" s="86">
        <v>1</v>
      </c>
      <c r="G170" s="87">
        <v>5</v>
      </c>
      <c r="H170" s="86">
        <v>3</v>
      </c>
      <c r="I170" s="88">
        <v>3.5000000000000001E-3</v>
      </c>
      <c r="J170" s="89">
        <f t="shared" si="7"/>
        <v>5.2499999999999998E-2</v>
      </c>
      <c r="K170" s="610"/>
      <c r="L170" s="613"/>
      <c r="M170" s="619"/>
    </row>
    <row r="171" spans="1:13" ht="15.5">
      <c r="A171" s="85" t="s">
        <v>175</v>
      </c>
      <c r="B171" s="116"/>
      <c r="C171" s="85"/>
      <c r="D171" s="85"/>
      <c r="E171" s="85"/>
      <c r="F171" s="86">
        <v>1</v>
      </c>
      <c r="G171" s="87">
        <v>1</v>
      </c>
      <c r="H171" s="86">
        <v>3</v>
      </c>
      <c r="I171" s="88">
        <v>3.5000000000000001E-3</v>
      </c>
      <c r="J171" s="89">
        <f t="shared" si="7"/>
        <v>1.0500000000000001E-2</v>
      </c>
      <c r="K171" s="610"/>
      <c r="L171" s="613"/>
      <c r="M171" s="619"/>
    </row>
    <row r="172" spans="1:13" ht="15.5">
      <c r="A172" s="85" t="s">
        <v>184</v>
      </c>
      <c r="B172" s="116"/>
      <c r="C172" s="85"/>
      <c r="D172" s="85"/>
      <c r="E172" s="85"/>
      <c r="F172" s="86">
        <v>1</v>
      </c>
      <c r="G172" s="87">
        <v>1</v>
      </c>
      <c r="H172" s="86">
        <v>1</v>
      </c>
      <c r="I172" s="88">
        <v>2.1999999999999999E-2</v>
      </c>
      <c r="J172" s="89">
        <f t="shared" si="7"/>
        <v>2.1999999999999999E-2</v>
      </c>
      <c r="K172" s="610"/>
      <c r="L172" s="613"/>
      <c r="M172" s="619"/>
    </row>
    <row r="173" spans="1:13" ht="15.5">
      <c r="A173" s="85" t="s">
        <v>184</v>
      </c>
      <c r="B173" s="116"/>
      <c r="C173" s="85"/>
      <c r="D173" s="85"/>
      <c r="E173" s="85"/>
      <c r="F173" s="86">
        <v>1</v>
      </c>
      <c r="G173" s="87">
        <v>7</v>
      </c>
      <c r="H173" s="86">
        <v>1</v>
      </c>
      <c r="I173" s="88">
        <v>1.4E-2</v>
      </c>
      <c r="J173" s="89">
        <f t="shared" si="7"/>
        <v>9.8000000000000004E-2</v>
      </c>
      <c r="K173" s="610"/>
      <c r="L173" s="613"/>
      <c r="M173" s="619"/>
    </row>
    <row r="174" spans="1:13" ht="15.5">
      <c r="A174" s="85" t="s">
        <v>176</v>
      </c>
      <c r="B174" s="116"/>
      <c r="C174" s="85"/>
      <c r="D174" s="85"/>
      <c r="E174" s="85"/>
      <c r="F174" s="86">
        <v>0</v>
      </c>
      <c r="G174" s="87">
        <v>0</v>
      </c>
      <c r="H174" s="86">
        <v>0</v>
      </c>
      <c r="I174" s="88">
        <v>0</v>
      </c>
      <c r="J174" s="89">
        <f t="shared" si="7"/>
        <v>0</v>
      </c>
      <c r="K174" s="610"/>
      <c r="L174" s="613"/>
      <c r="M174" s="619"/>
    </row>
    <row r="175" spans="1:13" ht="15.5">
      <c r="A175" s="85" t="s">
        <v>177</v>
      </c>
      <c r="B175" s="116"/>
      <c r="C175" s="85"/>
      <c r="D175" s="85"/>
      <c r="E175" s="85"/>
      <c r="F175" s="86">
        <v>0</v>
      </c>
      <c r="G175" s="87">
        <v>0</v>
      </c>
      <c r="H175" s="86">
        <v>0</v>
      </c>
      <c r="I175" s="88">
        <v>0</v>
      </c>
      <c r="J175" s="89">
        <f t="shared" si="7"/>
        <v>0</v>
      </c>
      <c r="K175" s="610"/>
      <c r="L175" s="613"/>
      <c r="M175" s="619"/>
    </row>
    <row r="176" spans="1:13" ht="15.5">
      <c r="A176" s="85" t="s">
        <v>209</v>
      </c>
      <c r="B176" s="116"/>
      <c r="C176" s="85"/>
      <c r="D176" s="85"/>
      <c r="E176" s="85"/>
      <c r="F176" s="86">
        <v>1</v>
      </c>
      <c r="G176" s="87">
        <v>1</v>
      </c>
      <c r="H176" s="86">
        <v>4</v>
      </c>
      <c r="I176" s="88">
        <v>2E-3</v>
      </c>
      <c r="J176" s="89">
        <f t="shared" si="7"/>
        <v>8.0000000000000002E-3</v>
      </c>
      <c r="K176" s="610"/>
      <c r="L176" s="613"/>
      <c r="M176" s="619"/>
    </row>
    <row r="177" spans="1:13" ht="15.5">
      <c r="A177" s="94" t="s">
        <v>179</v>
      </c>
      <c r="B177" s="124"/>
      <c r="C177" s="94"/>
      <c r="D177" s="94"/>
      <c r="E177" s="94"/>
      <c r="F177" s="95">
        <v>1</v>
      </c>
      <c r="G177" s="96">
        <v>7</v>
      </c>
      <c r="H177" s="95">
        <v>4</v>
      </c>
      <c r="I177" s="125">
        <v>1.9499999999999999E-3</v>
      </c>
      <c r="J177" s="122">
        <f t="shared" si="7"/>
        <v>5.4600000000000003E-2</v>
      </c>
      <c r="K177" s="611"/>
      <c r="L177" s="614"/>
      <c r="M177" s="620"/>
    </row>
    <row r="178" spans="1:13" ht="60" customHeight="1">
      <c r="A178" s="264" t="s">
        <v>217</v>
      </c>
      <c r="B178" s="268">
        <v>7.0499999999999993E-2</v>
      </c>
      <c r="C178" s="259">
        <v>6.1699999999999998E-2</v>
      </c>
      <c r="D178" s="269">
        <v>7.0000000000000007E-2</v>
      </c>
      <c r="E178" s="259" t="s">
        <v>208</v>
      </c>
      <c r="F178" s="241">
        <v>1</v>
      </c>
      <c r="G178" s="242">
        <v>2</v>
      </c>
      <c r="H178" s="241">
        <v>5</v>
      </c>
      <c r="I178" s="243"/>
      <c r="J178" s="239">
        <f>+SUM(J179:J186)</f>
        <v>0.1116</v>
      </c>
      <c r="K178" s="609" t="s">
        <v>149</v>
      </c>
      <c r="L178" s="612" t="s">
        <v>309</v>
      </c>
      <c r="M178" s="618" t="s">
        <v>241</v>
      </c>
    </row>
    <row r="179" spans="1:13" ht="15.5">
      <c r="A179" s="102" t="s">
        <v>172</v>
      </c>
      <c r="B179" s="116"/>
      <c r="C179" s="85"/>
      <c r="D179" s="85"/>
      <c r="E179" s="85"/>
      <c r="F179" s="86">
        <v>1</v>
      </c>
      <c r="G179" s="87">
        <v>1</v>
      </c>
      <c r="H179" s="86">
        <v>5</v>
      </c>
      <c r="I179" s="88">
        <v>3.0999999999999999E-3</v>
      </c>
      <c r="J179" s="89">
        <f>+I179*H179*G179</f>
        <v>1.55E-2</v>
      </c>
      <c r="K179" s="610"/>
      <c r="L179" s="613"/>
      <c r="M179" s="619"/>
    </row>
    <row r="180" spans="1:13" ht="15.5">
      <c r="A180" s="85" t="s">
        <v>173</v>
      </c>
      <c r="B180" s="116"/>
      <c r="C180" s="85"/>
      <c r="D180" s="85"/>
      <c r="E180" s="85"/>
      <c r="F180" s="86">
        <v>1</v>
      </c>
      <c r="G180" s="87">
        <v>1</v>
      </c>
      <c r="H180" s="86">
        <v>5</v>
      </c>
      <c r="I180" s="88">
        <v>2.0999999999999999E-3</v>
      </c>
      <c r="J180" s="89">
        <f t="shared" ref="J180:J186" si="8">+I180*H180*G180*F180</f>
        <v>1.0500000000000001E-2</v>
      </c>
      <c r="K180" s="610"/>
      <c r="L180" s="613"/>
      <c r="M180" s="619"/>
    </row>
    <row r="181" spans="1:13" ht="15.5">
      <c r="A181" s="85" t="s">
        <v>174</v>
      </c>
      <c r="B181" s="116"/>
      <c r="C181" s="85"/>
      <c r="D181" s="85"/>
      <c r="E181" s="85"/>
      <c r="F181" s="86">
        <v>1</v>
      </c>
      <c r="G181" s="87">
        <v>1</v>
      </c>
      <c r="H181" s="86">
        <v>4</v>
      </c>
      <c r="I181" s="88">
        <v>5.0000000000000001E-3</v>
      </c>
      <c r="J181" s="89">
        <f t="shared" si="8"/>
        <v>0.02</v>
      </c>
      <c r="K181" s="610"/>
      <c r="L181" s="613"/>
      <c r="M181" s="619"/>
    </row>
    <row r="182" spans="1:13" ht="15.5">
      <c r="A182" s="85" t="s">
        <v>175</v>
      </c>
      <c r="B182" s="116"/>
      <c r="C182" s="85"/>
      <c r="D182" s="85"/>
      <c r="E182" s="85"/>
      <c r="F182" s="86">
        <v>1</v>
      </c>
      <c r="G182" s="87">
        <v>1</v>
      </c>
      <c r="H182" s="86">
        <v>4</v>
      </c>
      <c r="I182" s="88">
        <v>5.0000000000000001E-3</v>
      </c>
      <c r="J182" s="89">
        <f t="shared" si="8"/>
        <v>0.02</v>
      </c>
      <c r="K182" s="610"/>
      <c r="L182" s="613"/>
      <c r="M182" s="619"/>
    </row>
    <row r="183" spans="1:13" ht="15.5">
      <c r="A183" s="85" t="s">
        <v>184</v>
      </c>
      <c r="B183" s="116"/>
      <c r="C183" s="85"/>
      <c r="D183" s="85"/>
      <c r="E183" s="85"/>
      <c r="F183" s="86">
        <v>1</v>
      </c>
      <c r="G183" s="87">
        <v>2</v>
      </c>
      <c r="H183" s="86">
        <v>1</v>
      </c>
      <c r="I183" s="88">
        <v>1.7500000000000002E-2</v>
      </c>
      <c r="J183" s="89">
        <f t="shared" si="8"/>
        <v>3.5000000000000003E-2</v>
      </c>
      <c r="K183" s="610"/>
      <c r="L183" s="613"/>
      <c r="M183" s="619"/>
    </row>
    <row r="184" spans="1:13" ht="15.5">
      <c r="A184" s="85" t="s">
        <v>176</v>
      </c>
      <c r="B184" s="116"/>
      <c r="C184" s="85"/>
      <c r="D184" s="85"/>
      <c r="E184" s="85"/>
      <c r="F184" s="89">
        <v>0</v>
      </c>
      <c r="G184" s="89">
        <v>0</v>
      </c>
      <c r="H184" s="89">
        <v>0</v>
      </c>
      <c r="I184" s="89">
        <v>0</v>
      </c>
      <c r="J184" s="89">
        <f t="shared" si="8"/>
        <v>0</v>
      </c>
      <c r="K184" s="610"/>
      <c r="L184" s="613"/>
      <c r="M184" s="619"/>
    </row>
    <row r="185" spans="1:13" ht="15.5">
      <c r="A185" s="85" t="s">
        <v>177</v>
      </c>
      <c r="B185" s="116"/>
      <c r="C185" s="85"/>
      <c r="D185" s="85"/>
      <c r="E185" s="85"/>
      <c r="F185" s="89">
        <v>0</v>
      </c>
      <c r="G185" s="89">
        <v>0</v>
      </c>
      <c r="H185" s="89">
        <v>0</v>
      </c>
      <c r="I185" s="89">
        <v>0</v>
      </c>
      <c r="J185" s="89">
        <f t="shared" si="8"/>
        <v>0</v>
      </c>
      <c r="K185" s="610"/>
      <c r="L185" s="613"/>
      <c r="M185" s="619"/>
    </row>
    <row r="186" spans="1:13" ht="127.5" customHeight="1">
      <c r="A186" s="146" t="s">
        <v>179</v>
      </c>
      <c r="B186" s="118"/>
      <c r="C186" s="104"/>
      <c r="D186" s="104"/>
      <c r="E186" s="104"/>
      <c r="F186" s="105">
        <v>1</v>
      </c>
      <c r="G186" s="106">
        <v>2</v>
      </c>
      <c r="H186" s="105">
        <v>5</v>
      </c>
      <c r="I186" s="144">
        <f>0.0053/5</f>
        <v>1.06E-3</v>
      </c>
      <c r="J186" s="145">
        <f t="shared" si="8"/>
        <v>1.06E-2</v>
      </c>
      <c r="K186" s="611"/>
      <c r="L186" s="614"/>
      <c r="M186" s="620"/>
    </row>
    <row r="187" spans="1:13" ht="72.75" customHeight="1">
      <c r="A187" s="199" t="s">
        <v>218</v>
      </c>
      <c r="B187" s="234">
        <v>0.1124</v>
      </c>
      <c r="C187" s="235">
        <v>7.3851E-2</v>
      </c>
      <c r="D187" s="245">
        <v>8.8999999999999996E-2</v>
      </c>
      <c r="E187" s="270" t="s">
        <v>301</v>
      </c>
      <c r="F187" s="241">
        <v>1</v>
      </c>
      <c r="G187" s="242">
        <v>3</v>
      </c>
      <c r="H187" s="241">
        <v>4</v>
      </c>
      <c r="I187" s="243"/>
      <c r="J187" s="239">
        <f>+SUM(J188:J195)</f>
        <v>0.12820000000000001</v>
      </c>
      <c r="K187" s="609" t="s">
        <v>149</v>
      </c>
      <c r="L187" s="612" t="s">
        <v>215</v>
      </c>
      <c r="M187" s="618" t="s">
        <v>216</v>
      </c>
    </row>
    <row r="188" spans="1:13" ht="15.5">
      <c r="A188" s="102" t="s">
        <v>172</v>
      </c>
      <c r="B188" s="116"/>
      <c r="C188" s="85"/>
      <c r="D188" s="85"/>
      <c r="E188" s="85"/>
      <c r="F188" s="86">
        <v>1</v>
      </c>
      <c r="G188" s="87">
        <v>1</v>
      </c>
      <c r="H188" s="86">
        <v>4</v>
      </c>
      <c r="I188" s="88">
        <v>3.0999999999999999E-3</v>
      </c>
      <c r="J188" s="89">
        <f>+I188*H188*G188</f>
        <v>1.24E-2</v>
      </c>
      <c r="K188" s="610"/>
      <c r="L188" s="613"/>
      <c r="M188" s="619"/>
    </row>
    <row r="189" spans="1:13" ht="15.5">
      <c r="A189" s="85" t="s">
        <v>173</v>
      </c>
      <c r="B189" s="116"/>
      <c r="C189" s="85"/>
      <c r="D189" s="85"/>
      <c r="E189" s="85"/>
      <c r="F189" s="86">
        <v>1</v>
      </c>
      <c r="G189" s="87">
        <v>2</v>
      </c>
      <c r="H189" s="86">
        <v>4</v>
      </c>
      <c r="I189" s="88">
        <v>2.0999999999999999E-3</v>
      </c>
      <c r="J189" s="89">
        <f t="shared" ref="J189:J195" si="9">+I189*H189*G189*F189</f>
        <v>1.6799999999999999E-2</v>
      </c>
      <c r="K189" s="610"/>
      <c r="L189" s="613"/>
      <c r="M189" s="619"/>
    </row>
    <row r="190" spans="1:13" ht="15.5">
      <c r="A190" s="85" t="s">
        <v>174</v>
      </c>
      <c r="B190" s="116"/>
      <c r="C190" s="85"/>
      <c r="D190" s="85"/>
      <c r="E190" s="85"/>
      <c r="F190" s="86">
        <v>1</v>
      </c>
      <c r="G190" s="87">
        <v>1</v>
      </c>
      <c r="H190" s="86">
        <v>3</v>
      </c>
      <c r="I190" s="88">
        <v>5.0000000000000001E-3</v>
      </c>
      <c r="J190" s="89">
        <f t="shared" si="9"/>
        <v>1.4999999999999999E-2</v>
      </c>
      <c r="K190" s="610"/>
      <c r="L190" s="613"/>
      <c r="M190" s="619"/>
    </row>
    <row r="191" spans="1:13" ht="15.5">
      <c r="A191" s="85" t="s">
        <v>175</v>
      </c>
      <c r="B191" s="116"/>
      <c r="C191" s="85"/>
      <c r="D191" s="85"/>
      <c r="E191" s="85"/>
      <c r="F191" s="129">
        <v>1</v>
      </c>
      <c r="G191" s="130">
        <v>2</v>
      </c>
      <c r="H191" s="129">
        <v>3</v>
      </c>
      <c r="I191" s="131">
        <v>5.0000000000000001E-3</v>
      </c>
      <c r="J191" s="132">
        <f t="shared" si="9"/>
        <v>0.03</v>
      </c>
      <c r="K191" s="610"/>
      <c r="L191" s="613"/>
      <c r="M191" s="619"/>
    </row>
    <row r="192" spans="1:13" ht="15.5">
      <c r="A192" s="85" t="s">
        <v>184</v>
      </c>
      <c r="B192" s="116"/>
      <c r="C192" s="85"/>
      <c r="D192" s="85"/>
      <c r="E192" s="85"/>
      <c r="F192" s="86">
        <v>1</v>
      </c>
      <c r="G192" s="87">
        <v>3</v>
      </c>
      <c r="H192" s="86">
        <v>1</v>
      </c>
      <c r="I192" s="88">
        <v>1.4E-2</v>
      </c>
      <c r="J192" s="89">
        <f t="shared" si="9"/>
        <v>4.2000000000000003E-2</v>
      </c>
      <c r="K192" s="610"/>
      <c r="L192" s="613"/>
      <c r="M192" s="619"/>
    </row>
    <row r="193" spans="1:13" ht="15.5">
      <c r="A193" s="85" t="s">
        <v>176</v>
      </c>
      <c r="B193" s="116"/>
      <c r="C193" s="85"/>
      <c r="D193" s="85"/>
      <c r="E193" s="85"/>
      <c r="F193" s="89">
        <v>0</v>
      </c>
      <c r="G193" s="89">
        <v>0</v>
      </c>
      <c r="H193" s="89">
        <v>0</v>
      </c>
      <c r="I193" s="88">
        <v>0</v>
      </c>
      <c r="J193" s="89">
        <f t="shared" si="9"/>
        <v>0</v>
      </c>
      <c r="K193" s="610"/>
      <c r="L193" s="613"/>
      <c r="M193" s="619"/>
    </row>
    <row r="194" spans="1:13" ht="15.5">
      <c r="A194" s="85" t="s">
        <v>177</v>
      </c>
      <c r="B194" s="116"/>
      <c r="C194" s="85"/>
      <c r="D194" s="85"/>
      <c r="E194" s="85"/>
      <c r="F194" s="89">
        <v>0</v>
      </c>
      <c r="G194" s="89">
        <v>0</v>
      </c>
      <c r="H194" s="89">
        <v>0</v>
      </c>
      <c r="I194" s="88">
        <v>0</v>
      </c>
      <c r="J194" s="89">
        <f t="shared" si="9"/>
        <v>0</v>
      </c>
      <c r="K194" s="610"/>
      <c r="L194" s="613"/>
      <c r="M194" s="619"/>
    </row>
    <row r="195" spans="1:13" ht="37.5" customHeight="1">
      <c r="A195" s="148" t="s">
        <v>179</v>
      </c>
      <c r="B195" s="118"/>
      <c r="C195" s="104"/>
      <c r="D195" s="104"/>
      <c r="E195" s="104"/>
      <c r="F195" s="105">
        <v>1</v>
      </c>
      <c r="G195" s="106">
        <v>3</v>
      </c>
      <c r="H195" s="105">
        <v>4</v>
      </c>
      <c r="I195" s="144">
        <v>1E-3</v>
      </c>
      <c r="J195" s="145">
        <f t="shared" si="9"/>
        <v>1.2E-2</v>
      </c>
      <c r="K195" s="611"/>
      <c r="L195" s="614"/>
      <c r="M195" s="620"/>
    </row>
    <row r="196" spans="1:13" ht="98.25" customHeight="1">
      <c r="A196" s="199" t="s">
        <v>219</v>
      </c>
      <c r="B196" s="245">
        <v>0</v>
      </c>
      <c r="C196" s="245">
        <v>0</v>
      </c>
      <c r="D196" s="245">
        <v>0</v>
      </c>
      <c r="E196" s="245">
        <v>0</v>
      </c>
      <c r="F196" s="241">
        <v>1</v>
      </c>
      <c r="G196" s="242">
        <v>2</v>
      </c>
      <c r="H196" s="241">
        <v>3</v>
      </c>
      <c r="I196" s="243"/>
      <c r="J196" s="239">
        <f>+SUM(J197:J204)</f>
        <v>0.21479999999999999</v>
      </c>
      <c r="K196" s="609" t="s">
        <v>149</v>
      </c>
      <c r="L196" s="612" t="s">
        <v>313</v>
      </c>
      <c r="M196" s="618" t="s">
        <v>220</v>
      </c>
    </row>
    <row r="197" spans="1:13" ht="15.5">
      <c r="A197" s="102" t="s">
        <v>172</v>
      </c>
      <c r="B197" s="116"/>
      <c r="C197" s="85"/>
      <c r="D197" s="85"/>
      <c r="E197" s="85"/>
      <c r="F197" s="149">
        <v>3</v>
      </c>
      <c r="G197" s="87">
        <v>1</v>
      </c>
      <c r="H197" s="86">
        <v>3</v>
      </c>
      <c r="I197" s="88">
        <v>3.0999999999999999E-3</v>
      </c>
      <c r="J197" s="89">
        <f t="shared" ref="J197:J203" si="10">+I197*H197*G197*F197</f>
        <v>2.7900000000000001E-2</v>
      </c>
      <c r="K197" s="610"/>
      <c r="L197" s="613"/>
      <c r="M197" s="619"/>
    </row>
    <row r="198" spans="1:13" ht="15.5">
      <c r="A198" s="85" t="s">
        <v>173</v>
      </c>
      <c r="B198" s="116"/>
      <c r="C198" s="85"/>
      <c r="D198" s="85"/>
      <c r="E198" s="85"/>
      <c r="F198" s="149">
        <v>3</v>
      </c>
      <c r="G198" s="87">
        <v>1</v>
      </c>
      <c r="H198" s="86">
        <v>3</v>
      </c>
      <c r="I198" s="88">
        <v>2.0999999999999999E-3</v>
      </c>
      <c r="J198" s="89">
        <f t="shared" si="10"/>
        <v>1.89E-2</v>
      </c>
      <c r="K198" s="610"/>
      <c r="L198" s="613"/>
      <c r="M198" s="619"/>
    </row>
    <row r="199" spans="1:13" ht="15.5">
      <c r="A199" s="85" t="s">
        <v>174</v>
      </c>
      <c r="B199" s="116"/>
      <c r="C199" s="85"/>
      <c r="D199" s="85"/>
      <c r="E199" s="85"/>
      <c r="F199" s="149">
        <v>3</v>
      </c>
      <c r="G199" s="87">
        <v>1</v>
      </c>
      <c r="H199" s="86">
        <v>2</v>
      </c>
      <c r="I199" s="88">
        <v>4.0000000000000001E-3</v>
      </c>
      <c r="J199" s="89">
        <f t="shared" si="10"/>
        <v>2.4E-2</v>
      </c>
      <c r="K199" s="610"/>
      <c r="L199" s="613"/>
      <c r="M199" s="619"/>
    </row>
    <row r="200" spans="1:13" ht="15.5">
      <c r="A200" s="85" t="s">
        <v>175</v>
      </c>
      <c r="B200" s="116"/>
      <c r="C200" s="85"/>
      <c r="D200" s="85"/>
      <c r="E200" s="85"/>
      <c r="F200" s="149">
        <v>3</v>
      </c>
      <c r="G200" s="87">
        <v>1</v>
      </c>
      <c r="H200" s="86">
        <v>2</v>
      </c>
      <c r="I200" s="88">
        <v>4.0000000000000001E-3</v>
      </c>
      <c r="J200" s="89">
        <f t="shared" si="10"/>
        <v>2.4E-2</v>
      </c>
      <c r="K200" s="610"/>
      <c r="L200" s="613"/>
      <c r="M200" s="619"/>
    </row>
    <row r="201" spans="1:13" ht="15.5">
      <c r="A201" s="85" t="s">
        <v>184</v>
      </c>
      <c r="B201" s="116"/>
      <c r="C201" s="85"/>
      <c r="D201" s="85"/>
      <c r="E201" s="85"/>
      <c r="F201" s="149">
        <v>3</v>
      </c>
      <c r="G201" s="87">
        <v>2</v>
      </c>
      <c r="H201" s="86">
        <v>1</v>
      </c>
      <c r="I201" s="88">
        <v>1.7000000000000001E-2</v>
      </c>
      <c r="J201" s="89">
        <f t="shared" si="10"/>
        <v>0.10199999999999999</v>
      </c>
      <c r="K201" s="610"/>
      <c r="L201" s="613"/>
      <c r="M201" s="619"/>
    </row>
    <row r="202" spans="1:13" ht="15.5">
      <c r="A202" s="85" t="s">
        <v>176</v>
      </c>
      <c r="B202" s="116"/>
      <c r="C202" s="85"/>
      <c r="D202" s="85"/>
      <c r="E202" s="85"/>
      <c r="F202" s="149">
        <v>0</v>
      </c>
      <c r="G202" s="87">
        <v>0</v>
      </c>
      <c r="H202" s="86">
        <v>0</v>
      </c>
      <c r="I202" s="88">
        <v>0</v>
      </c>
      <c r="J202" s="89">
        <f t="shared" si="10"/>
        <v>0</v>
      </c>
      <c r="K202" s="610"/>
      <c r="L202" s="613"/>
      <c r="M202" s="619"/>
    </row>
    <row r="203" spans="1:13" ht="15.5">
      <c r="A203" s="85" t="s">
        <v>177</v>
      </c>
      <c r="B203" s="116"/>
      <c r="C203" s="85"/>
      <c r="D203" s="85"/>
      <c r="E203" s="85"/>
      <c r="F203" s="149">
        <v>0</v>
      </c>
      <c r="G203" s="87">
        <v>0</v>
      </c>
      <c r="H203" s="86">
        <v>0</v>
      </c>
      <c r="I203" s="88">
        <v>0</v>
      </c>
      <c r="J203" s="89">
        <f t="shared" si="10"/>
        <v>0</v>
      </c>
      <c r="K203" s="610"/>
      <c r="L203" s="613"/>
      <c r="M203" s="619"/>
    </row>
    <row r="204" spans="1:13" ht="18.75" customHeight="1">
      <c r="A204" s="148" t="s">
        <v>179</v>
      </c>
      <c r="B204" s="118"/>
      <c r="C204" s="104"/>
      <c r="D204" s="104"/>
      <c r="E204" s="104"/>
      <c r="F204" s="150">
        <v>3</v>
      </c>
      <c r="G204" s="106">
        <v>2</v>
      </c>
      <c r="H204" s="105">
        <v>3</v>
      </c>
      <c r="I204" s="144">
        <v>1E-3</v>
      </c>
      <c r="J204" s="145">
        <f>+F204*G204*H204*I204</f>
        <v>1.7999999999999999E-2</v>
      </c>
      <c r="K204" s="611"/>
      <c r="L204" s="614"/>
      <c r="M204" s="620"/>
    </row>
    <row r="205" spans="1:13" ht="38.25" customHeight="1">
      <c r="A205" s="257" t="s">
        <v>221</v>
      </c>
      <c r="B205" s="252">
        <v>0.10979999999999999</v>
      </c>
      <c r="C205" s="252">
        <v>0.101449</v>
      </c>
      <c r="D205" s="251">
        <v>0</v>
      </c>
      <c r="E205" s="251">
        <v>0</v>
      </c>
      <c r="F205" s="260">
        <v>3</v>
      </c>
      <c r="G205" s="261">
        <v>1</v>
      </c>
      <c r="H205" s="260">
        <v>3</v>
      </c>
      <c r="I205" s="262"/>
      <c r="J205" s="271">
        <f>+SUM(J206:J214)</f>
        <v>0.11565</v>
      </c>
      <c r="K205" s="609" t="s">
        <v>149</v>
      </c>
      <c r="L205" s="612" t="s">
        <v>314</v>
      </c>
      <c r="M205" s="618" t="s">
        <v>222</v>
      </c>
    </row>
    <row r="206" spans="1:13" ht="15.5">
      <c r="A206" s="102" t="s">
        <v>172</v>
      </c>
      <c r="B206" s="116"/>
      <c r="C206" s="85"/>
      <c r="D206" s="85"/>
      <c r="E206" s="85"/>
      <c r="F206" s="89">
        <v>0</v>
      </c>
      <c r="G206" s="89">
        <v>0</v>
      </c>
      <c r="H206" s="89">
        <v>0</v>
      </c>
      <c r="I206" s="88">
        <v>0</v>
      </c>
      <c r="J206" s="89">
        <f>+I206*H206*G206</f>
        <v>0</v>
      </c>
      <c r="K206" s="610"/>
      <c r="L206" s="613"/>
      <c r="M206" s="621"/>
    </row>
    <row r="207" spans="1:13" ht="15.5">
      <c r="A207" s="85" t="s">
        <v>173</v>
      </c>
      <c r="B207" s="116"/>
      <c r="C207" s="85"/>
      <c r="D207" s="85"/>
      <c r="E207" s="85"/>
      <c r="F207" s="86">
        <v>3</v>
      </c>
      <c r="G207" s="86">
        <v>1</v>
      </c>
      <c r="H207" s="86">
        <v>3</v>
      </c>
      <c r="I207" s="88">
        <v>2.0999999999999999E-3</v>
      </c>
      <c r="J207" s="89">
        <f t="shared" ref="J207:J213" si="11">+I207*H207*G207*F207</f>
        <v>1.89E-2</v>
      </c>
      <c r="K207" s="610"/>
      <c r="L207" s="613"/>
      <c r="M207" s="621"/>
    </row>
    <row r="208" spans="1:13" ht="15.5">
      <c r="A208" s="85" t="s">
        <v>174</v>
      </c>
      <c r="B208" s="116"/>
      <c r="C208" s="85"/>
      <c r="D208" s="85"/>
      <c r="E208" s="85"/>
      <c r="F208" s="89">
        <v>0</v>
      </c>
      <c r="G208" s="89">
        <v>0</v>
      </c>
      <c r="H208" s="89">
        <v>0</v>
      </c>
      <c r="I208" s="89">
        <v>0</v>
      </c>
      <c r="J208" s="89">
        <f t="shared" si="11"/>
        <v>0</v>
      </c>
      <c r="K208" s="610"/>
      <c r="L208" s="613"/>
      <c r="M208" s="621"/>
    </row>
    <row r="209" spans="1:13" ht="15.5">
      <c r="A209" s="85" t="s">
        <v>175</v>
      </c>
      <c r="B209" s="116"/>
      <c r="C209" s="85"/>
      <c r="D209" s="85"/>
      <c r="E209" s="85"/>
      <c r="F209" s="86">
        <v>3</v>
      </c>
      <c r="G209" s="86">
        <v>1</v>
      </c>
      <c r="H209" s="86">
        <v>3</v>
      </c>
      <c r="I209" s="88">
        <v>4.0000000000000001E-3</v>
      </c>
      <c r="J209" s="89">
        <f t="shared" si="11"/>
        <v>3.5999999999999997E-2</v>
      </c>
      <c r="K209" s="610"/>
      <c r="L209" s="613"/>
      <c r="M209" s="621"/>
    </row>
    <row r="210" spans="1:13" ht="15.5">
      <c r="A210" s="85" t="s">
        <v>184</v>
      </c>
      <c r="B210" s="116"/>
      <c r="C210" s="85"/>
      <c r="D210" s="85"/>
      <c r="E210" s="85"/>
      <c r="F210" s="86">
        <v>3</v>
      </c>
      <c r="G210" s="86">
        <v>1</v>
      </c>
      <c r="H210" s="86">
        <v>1</v>
      </c>
      <c r="I210" s="88">
        <v>1.7000000000000001E-2</v>
      </c>
      <c r="J210" s="89">
        <f t="shared" si="11"/>
        <v>5.0999999999999997E-2</v>
      </c>
      <c r="K210" s="610"/>
      <c r="L210" s="613"/>
      <c r="M210" s="621"/>
    </row>
    <row r="211" spans="1:13" ht="15.5">
      <c r="A211" s="85" t="s">
        <v>176</v>
      </c>
      <c r="B211" s="116"/>
      <c r="C211" s="85"/>
      <c r="D211" s="85"/>
      <c r="E211" s="85"/>
      <c r="F211" s="89">
        <v>0</v>
      </c>
      <c r="G211" s="89">
        <v>0</v>
      </c>
      <c r="H211" s="89">
        <v>0</v>
      </c>
      <c r="I211" s="88">
        <v>0</v>
      </c>
      <c r="J211" s="89">
        <f t="shared" si="11"/>
        <v>0</v>
      </c>
      <c r="K211" s="610"/>
      <c r="L211" s="613"/>
      <c r="M211" s="621"/>
    </row>
    <row r="212" spans="1:13" ht="15.5">
      <c r="A212" s="85" t="s">
        <v>177</v>
      </c>
      <c r="B212" s="116"/>
      <c r="C212" s="85"/>
      <c r="D212" s="85"/>
      <c r="E212" s="85"/>
      <c r="F212" s="89">
        <v>0</v>
      </c>
      <c r="G212" s="89">
        <v>0</v>
      </c>
      <c r="H212" s="89">
        <v>0</v>
      </c>
      <c r="I212" s="88">
        <v>0</v>
      </c>
      <c r="J212" s="89">
        <f t="shared" si="11"/>
        <v>0</v>
      </c>
      <c r="K212" s="610"/>
      <c r="L212" s="613"/>
      <c r="M212" s="621"/>
    </row>
    <row r="213" spans="1:13" ht="15.5">
      <c r="A213" s="90" t="s">
        <v>179</v>
      </c>
      <c r="B213" s="116"/>
      <c r="C213" s="85"/>
      <c r="D213" s="85"/>
      <c r="E213" s="85"/>
      <c r="F213" s="91">
        <v>3</v>
      </c>
      <c r="G213" s="91">
        <v>1</v>
      </c>
      <c r="H213" s="91">
        <v>3</v>
      </c>
      <c r="I213" s="92">
        <f>0.00325/3</f>
        <v>1.08333333333333E-3</v>
      </c>
      <c r="J213" s="93">
        <f t="shared" si="11"/>
        <v>9.75E-3</v>
      </c>
      <c r="K213" s="610"/>
      <c r="L213" s="613"/>
      <c r="M213" s="621"/>
    </row>
    <row r="214" spans="1:13" ht="37.5" customHeight="1">
      <c r="A214" s="94"/>
      <c r="B214" s="124"/>
      <c r="C214" s="94"/>
      <c r="D214" s="94"/>
      <c r="E214" s="94"/>
      <c r="F214" s="95"/>
      <c r="G214" s="96"/>
      <c r="H214" s="95"/>
      <c r="I214" s="97"/>
      <c r="J214" s="98"/>
      <c r="K214" s="611"/>
      <c r="L214" s="614"/>
      <c r="M214" s="622"/>
    </row>
    <row r="215" spans="1:13" ht="61.5" customHeight="1">
      <c r="A215" s="264" t="s">
        <v>296</v>
      </c>
      <c r="B215" s="265">
        <v>8.0500000000000002E-2</v>
      </c>
      <c r="C215" s="265">
        <v>8.0500000000000002E-2</v>
      </c>
      <c r="D215" s="265">
        <v>0.50700000000000001</v>
      </c>
      <c r="E215" s="265">
        <v>0.50700000000000001</v>
      </c>
      <c r="F215" s="241">
        <v>1</v>
      </c>
      <c r="G215" s="242">
        <v>2</v>
      </c>
      <c r="H215" s="241">
        <v>4</v>
      </c>
      <c r="I215" s="243"/>
      <c r="J215" s="239">
        <f>+SUM(J216:J224)</f>
        <v>0.1028</v>
      </c>
      <c r="K215" s="609" t="s">
        <v>149</v>
      </c>
      <c r="L215" s="612" t="s">
        <v>315</v>
      </c>
      <c r="M215" s="618" t="s">
        <v>242</v>
      </c>
    </row>
    <row r="216" spans="1:13" ht="15.5">
      <c r="A216" s="102" t="s">
        <v>172</v>
      </c>
      <c r="B216" s="116"/>
      <c r="C216" s="85"/>
      <c r="D216" s="85"/>
      <c r="E216" s="85"/>
      <c r="F216" s="86">
        <v>1</v>
      </c>
      <c r="G216" s="87">
        <v>2</v>
      </c>
      <c r="H216" s="86">
        <v>4</v>
      </c>
      <c r="I216" s="88">
        <v>3.0999999999999999E-3</v>
      </c>
      <c r="J216" s="89">
        <f>+I216*H216*G216</f>
        <v>2.4799999999999999E-2</v>
      </c>
      <c r="K216" s="610"/>
      <c r="L216" s="613"/>
      <c r="M216" s="619"/>
    </row>
    <row r="217" spans="1:13" ht="15.5">
      <c r="A217" s="85" t="s">
        <v>173</v>
      </c>
      <c r="B217" s="116"/>
      <c r="C217" s="85"/>
      <c r="D217" s="85"/>
      <c r="E217" s="85"/>
      <c r="F217" s="86">
        <v>0</v>
      </c>
      <c r="G217" s="87">
        <v>0</v>
      </c>
      <c r="H217" s="86">
        <v>0</v>
      </c>
      <c r="I217" s="88">
        <v>0</v>
      </c>
      <c r="J217" s="89">
        <f t="shared" ref="J217:J224" si="12">+I217*H217*G217*F217</f>
        <v>0</v>
      </c>
      <c r="K217" s="610"/>
      <c r="L217" s="613"/>
      <c r="M217" s="619"/>
    </row>
    <row r="218" spans="1:13" ht="15.5">
      <c r="A218" s="85" t="s">
        <v>174</v>
      </c>
      <c r="B218" s="116"/>
      <c r="C218" s="85"/>
      <c r="D218" s="85"/>
      <c r="E218" s="85"/>
      <c r="F218" s="86">
        <v>1</v>
      </c>
      <c r="G218" s="87">
        <v>2</v>
      </c>
      <c r="H218" s="86">
        <v>3</v>
      </c>
      <c r="I218" s="88">
        <v>5.0000000000000001E-3</v>
      </c>
      <c r="J218" s="89">
        <f t="shared" si="12"/>
        <v>0.03</v>
      </c>
      <c r="K218" s="610"/>
      <c r="L218" s="613"/>
      <c r="M218" s="619"/>
    </row>
    <row r="219" spans="1:13" ht="15.5">
      <c r="A219" s="85" t="s">
        <v>175</v>
      </c>
      <c r="B219" s="116"/>
      <c r="C219" s="85"/>
      <c r="D219" s="85"/>
      <c r="E219" s="85"/>
      <c r="F219" s="86">
        <v>0</v>
      </c>
      <c r="G219" s="87">
        <v>0</v>
      </c>
      <c r="H219" s="86">
        <v>0</v>
      </c>
      <c r="I219" s="88">
        <v>0</v>
      </c>
      <c r="J219" s="89">
        <f t="shared" si="12"/>
        <v>0</v>
      </c>
      <c r="K219" s="610"/>
      <c r="L219" s="613"/>
      <c r="M219" s="619"/>
    </row>
    <row r="220" spans="1:13" ht="15.5">
      <c r="A220" s="85" t="s">
        <v>184</v>
      </c>
      <c r="B220" s="116"/>
      <c r="C220" s="85"/>
      <c r="D220" s="85"/>
      <c r="E220" s="85"/>
      <c r="F220" s="86">
        <v>1</v>
      </c>
      <c r="G220" s="87">
        <v>1</v>
      </c>
      <c r="H220" s="86">
        <v>1</v>
      </c>
      <c r="I220" s="88">
        <v>2.5000000000000001E-2</v>
      </c>
      <c r="J220" s="89">
        <f t="shared" si="12"/>
        <v>2.5000000000000001E-2</v>
      </c>
      <c r="K220" s="610"/>
      <c r="L220" s="613"/>
      <c r="M220" s="619"/>
    </row>
    <row r="221" spans="1:13" ht="15.5">
      <c r="A221" s="85"/>
      <c r="B221" s="116"/>
      <c r="C221" s="85"/>
      <c r="D221" s="85"/>
      <c r="E221" s="85"/>
      <c r="F221" s="86">
        <v>1</v>
      </c>
      <c r="G221" s="87">
        <v>1</v>
      </c>
      <c r="H221" s="86">
        <v>1</v>
      </c>
      <c r="I221" s="88">
        <v>1.7000000000000001E-2</v>
      </c>
      <c r="J221" s="89">
        <f t="shared" si="12"/>
        <v>1.7000000000000001E-2</v>
      </c>
      <c r="K221" s="610"/>
      <c r="L221" s="613"/>
      <c r="M221" s="619"/>
    </row>
    <row r="222" spans="1:13" ht="15.5">
      <c r="A222" s="85" t="s">
        <v>176</v>
      </c>
      <c r="B222" s="116"/>
      <c r="C222" s="85"/>
      <c r="D222" s="85"/>
      <c r="E222" s="85"/>
      <c r="F222" s="86">
        <v>0</v>
      </c>
      <c r="G222" s="87">
        <v>0</v>
      </c>
      <c r="H222" s="86">
        <v>0</v>
      </c>
      <c r="I222" s="88">
        <v>0</v>
      </c>
      <c r="J222" s="89">
        <f t="shared" si="12"/>
        <v>0</v>
      </c>
      <c r="K222" s="610"/>
      <c r="L222" s="613"/>
      <c r="M222" s="619"/>
    </row>
    <row r="223" spans="1:13" ht="15.5">
      <c r="A223" s="85" t="s">
        <v>177</v>
      </c>
      <c r="B223" s="116"/>
      <c r="C223" s="85"/>
      <c r="D223" s="85"/>
      <c r="E223" s="85"/>
      <c r="F223" s="86">
        <v>0</v>
      </c>
      <c r="G223" s="87">
        <v>0</v>
      </c>
      <c r="H223" s="86">
        <v>0</v>
      </c>
      <c r="I223" s="88">
        <v>0</v>
      </c>
      <c r="J223" s="89">
        <f t="shared" si="12"/>
        <v>0</v>
      </c>
      <c r="K223" s="610"/>
      <c r="L223" s="613"/>
      <c r="M223" s="619"/>
    </row>
    <row r="224" spans="1:13" ht="19.5" customHeight="1">
      <c r="A224" s="146" t="s">
        <v>179</v>
      </c>
      <c r="B224" s="118"/>
      <c r="C224" s="104"/>
      <c r="D224" s="104"/>
      <c r="E224" s="104"/>
      <c r="F224" s="105">
        <v>1</v>
      </c>
      <c r="G224" s="106">
        <v>2</v>
      </c>
      <c r="H224" s="105">
        <v>4</v>
      </c>
      <c r="I224" s="144">
        <v>7.5000000000000002E-4</v>
      </c>
      <c r="J224" s="145">
        <f t="shared" si="12"/>
        <v>6.0000000000000001E-3</v>
      </c>
      <c r="K224" s="611"/>
      <c r="L224" s="614"/>
      <c r="M224" s="620"/>
    </row>
    <row r="225" spans="1:13" ht="38.25" customHeight="1">
      <c r="A225" s="264" t="s">
        <v>223</v>
      </c>
      <c r="B225" s="265">
        <v>0.12559999999999999</v>
      </c>
      <c r="C225" s="272">
        <v>3.9899999999999998E-2</v>
      </c>
      <c r="D225" s="235">
        <v>0</v>
      </c>
      <c r="E225" s="235">
        <v>0</v>
      </c>
      <c r="F225" s="241">
        <v>1</v>
      </c>
      <c r="G225" s="242">
        <v>2</v>
      </c>
      <c r="H225" s="241">
        <v>5</v>
      </c>
      <c r="I225" s="243"/>
      <c r="J225" s="239">
        <f>+SUM(J226:J235)</f>
        <v>0.22600000000000001</v>
      </c>
      <c r="K225" s="609" t="s">
        <v>149</v>
      </c>
      <c r="L225" s="612" t="s">
        <v>254</v>
      </c>
      <c r="M225" s="618" t="s">
        <v>297</v>
      </c>
    </row>
    <row r="226" spans="1:13" ht="15.5">
      <c r="A226" s="102" t="s">
        <v>172</v>
      </c>
      <c r="B226" s="116"/>
      <c r="C226" s="85"/>
      <c r="D226" s="85"/>
      <c r="E226" s="85"/>
      <c r="F226" s="86">
        <v>1</v>
      </c>
      <c r="G226" s="87">
        <v>2</v>
      </c>
      <c r="H226" s="86">
        <v>5</v>
      </c>
      <c r="I226" s="88">
        <v>3.0999999999999999E-3</v>
      </c>
      <c r="J226" s="89">
        <f>+I226*H226*G226</f>
        <v>3.1E-2</v>
      </c>
      <c r="K226" s="610"/>
      <c r="L226" s="613"/>
      <c r="M226" s="619"/>
    </row>
    <row r="227" spans="1:13" ht="15.5">
      <c r="A227" s="85" t="s">
        <v>173</v>
      </c>
      <c r="B227" s="116"/>
      <c r="C227" s="85" t="s">
        <v>306</v>
      </c>
      <c r="D227" s="85"/>
      <c r="E227" s="85"/>
      <c r="F227" s="86">
        <v>0</v>
      </c>
      <c r="G227" s="87">
        <v>0</v>
      </c>
      <c r="H227" s="86">
        <v>0</v>
      </c>
      <c r="I227" s="88">
        <v>0</v>
      </c>
      <c r="J227" s="89">
        <f t="shared" ref="J227:J235" si="13">+I227*H227*G227*F227</f>
        <v>0</v>
      </c>
      <c r="K227" s="610"/>
      <c r="L227" s="613"/>
      <c r="M227" s="619"/>
    </row>
    <row r="228" spans="1:13" ht="15.5">
      <c r="A228" s="85" t="s">
        <v>174</v>
      </c>
      <c r="B228" s="116"/>
      <c r="C228" s="85"/>
      <c r="D228" s="85"/>
      <c r="E228" s="85"/>
      <c r="F228" s="86">
        <v>1</v>
      </c>
      <c r="G228" s="87">
        <v>1</v>
      </c>
      <c r="H228" s="86">
        <v>4</v>
      </c>
      <c r="I228" s="88">
        <v>8.0000000000000002E-3</v>
      </c>
      <c r="J228" s="89">
        <f t="shared" si="13"/>
        <v>3.2000000000000001E-2</v>
      </c>
      <c r="K228" s="610"/>
      <c r="L228" s="613"/>
      <c r="M228" s="619"/>
    </row>
    <row r="229" spans="1:13" ht="15.5">
      <c r="A229" s="85" t="s">
        <v>174</v>
      </c>
      <c r="B229" s="116"/>
      <c r="C229" s="85"/>
      <c r="D229" s="85"/>
      <c r="E229" s="85"/>
      <c r="F229" s="86">
        <v>1</v>
      </c>
      <c r="G229" s="87">
        <v>1</v>
      </c>
      <c r="H229" s="86">
        <v>4</v>
      </c>
      <c r="I229" s="88">
        <v>7.4999999999999997E-3</v>
      </c>
      <c r="J229" s="89">
        <f t="shared" si="13"/>
        <v>0.03</v>
      </c>
      <c r="K229" s="610"/>
      <c r="L229" s="613"/>
      <c r="M229" s="619"/>
    </row>
    <row r="230" spans="1:13" ht="15.5">
      <c r="A230" s="85" t="s">
        <v>175</v>
      </c>
      <c r="B230" s="116"/>
      <c r="C230" s="85"/>
      <c r="D230" s="85"/>
      <c r="E230" s="85"/>
      <c r="F230" s="86">
        <v>0</v>
      </c>
      <c r="G230" s="87">
        <v>0</v>
      </c>
      <c r="H230" s="86">
        <v>0</v>
      </c>
      <c r="I230" s="88">
        <v>0</v>
      </c>
      <c r="J230" s="89">
        <f t="shared" si="13"/>
        <v>0</v>
      </c>
      <c r="K230" s="610"/>
      <c r="L230" s="613"/>
      <c r="M230" s="619"/>
    </row>
    <row r="231" spans="1:13" ht="15.5">
      <c r="A231" s="85" t="s">
        <v>184</v>
      </c>
      <c r="B231" s="116"/>
      <c r="C231" s="85"/>
      <c r="D231" s="85"/>
      <c r="E231" s="85"/>
      <c r="F231" s="86">
        <v>1</v>
      </c>
      <c r="G231" s="87">
        <v>1</v>
      </c>
      <c r="H231" s="86">
        <v>1</v>
      </c>
      <c r="I231" s="88">
        <v>0.08</v>
      </c>
      <c r="J231" s="89">
        <f t="shared" si="13"/>
        <v>0.08</v>
      </c>
      <c r="K231" s="610"/>
      <c r="L231" s="613"/>
      <c r="M231" s="619"/>
    </row>
    <row r="232" spans="1:13" ht="15.5">
      <c r="A232" s="85"/>
      <c r="B232" s="116"/>
      <c r="C232" s="85"/>
      <c r="D232" s="85"/>
      <c r="E232" s="85"/>
      <c r="F232" s="86">
        <v>1</v>
      </c>
      <c r="G232" s="87">
        <v>1</v>
      </c>
      <c r="H232" s="86">
        <v>1</v>
      </c>
      <c r="I232" s="88">
        <v>4.4999999999999998E-2</v>
      </c>
      <c r="J232" s="89">
        <f t="shared" si="13"/>
        <v>4.4999999999999998E-2</v>
      </c>
      <c r="K232" s="610"/>
      <c r="L232" s="613"/>
      <c r="M232" s="619"/>
    </row>
    <row r="233" spans="1:13" ht="15.5">
      <c r="A233" s="85" t="s">
        <v>176</v>
      </c>
      <c r="B233" s="116"/>
      <c r="C233" s="85"/>
      <c r="D233" s="85"/>
      <c r="E233" s="85"/>
      <c r="F233" s="86">
        <v>0</v>
      </c>
      <c r="G233" s="87">
        <v>0</v>
      </c>
      <c r="H233" s="86">
        <v>0</v>
      </c>
      <c r="I233" s="88">
        <v>0</v>
      </c>
      <c r="J233" s="89">
        <f t="shared" si="13"/>
        <v>0</v>
      </c>
      <c r="K233" s="610"/>
      <c r="L233" s="613"/>
      <c r="M233" s="619"/>
    </row>
    <row r="234" spans="1:13" ht="15.5">
      <c r="A234" s="85" t="s">
        <v>177</v>
      </c>
      <c r="B234" s="116"/>
      <c r="C234" s="85"/>
      <c r="D234" s="85"/>
      <c r="E234" s="85"/>
      <c r="F234" s="86">
        <v>0</v>
      </c>
      <c r="G234" s="87">
        <v>0</v>
      </c>
      <c r="H234" s="86">
        <v>0</v>
      </c>
      <c r="I234" s="88">
        <v>0</v>
      </c>
      <c r="J234" s="89">
        <f t="shared" si="13"/>
        <v>0</v>
      </c>
      <c r="K234" s="610"/>
      <c r="L234" s="613"/>
      <c r="M234" s="619"/>
    </row>
    <row r="235" spans="1:13" ht="19.5" customHeight="1">
      <c r="A235" s="146" t="s">
        <v>179</v>
      </c>
      <c r="B235" s="118"/>
      <c r="C235" s="104"/>
      <c r="D235" s="104"/>
      <c r="E235" s="104"/>
      <c r="F235" s="105">
        <v>1</v>
      </c>
      <c r="G235" s="106">
        <v>2</v>
      </c>
      <c r="H235" s="105">
        <v>5</v>
      </c>
      <c r="I235" s="144">
        <f>0.004/5</f>
        <v>8.0000000000000004E-4</v>
      </c>
      <c r="J235" s="145">
        <f t="shared" si="13"/>
        <v>8.0000000000000002E-3</v>
      </c>
      <c r="K235" s="611"/>
      <c r="L235" s="614"/>
      <c r="M235" s="620"/>
    </row>
    <row r="236" spans="1:13" ht="54.75" customHeight="1">
      <c r="A236" s="264" t="s">
        <v>224</v>
      </c>
      <c r="B236" s="265">
        <v>0.1285</v>
      </c>
      <c r="C236" s="265">
        <v>0</v>
      </c>
      <c r="D236" s="235">
        <v>0</v>
      </c>
      <c r="E236" s="235">
        <v>0</v>
      </c>
      <c r="F236" s="241">
        <v>1</v>
      </c>
      <c r="G236" s="242">
        <v>2</v>
      </c>
      <c r="H236" s="241">
        <v>5</v>
      </c>
      <c r="I236" s="243"/>
      <c r="J236" s="239">
        <f>+SUM(J237:J246)</f>
        <v>0.22600000000000001</v>
      </c>
      <c r="K236" s="609" t="s">
        <v>149</v>
      </c>
      <c r="L236" s="612" t="s">
        <v>254</v>
      </c>
      <c r="M236" s="618" t="s">
        <v>243</v>
      </c>
    </row>
    <row r="237" spans="1:13" ht="15.5">
      <c r="A237" s="102" t="s">
        <v>172</v>
      </c>
      <c r="B237" s="116"/>
      <c r="C237" s="85"/>
      <c r="D237" s="85"/>
      <c r="E237" s="85"/>
      <c r="F237" s="86">
        <v>1</v>
      </c>
      <c r="G237" s="87">
        <v>2</v>
      </c>
      <c r="H237" s="86">
        <v>5</v>
      </c>
      <c r="I237" s="88">
        <v>3.0999999999999999E-3</v>
      </c>
      <c r="J237" s="89">
        <f>+I237*H237*G237</f>
        <v>3.1E-2</v>
      </c>
      <c r="K237" s="610"/>
      <c r="L237" s="613"/>
      <c r="M237" s="619"/>
    </row>
    <row r="238" spans="1:13" ht="15.5">
      <c r="A238" s="85" t="s">
        <v>173</v>
      </c>
      <c r="B238" s="116"/>
      <c r="C238" s="85"/>
      <c r="D238" s="85"/>
      <c r="E238" s="85"/>
      <c r="F238" s="86">
        <v>0</v>
      </c>
      <c r="G238" s="87">
        <v>0</v>
      </c>
      <c r="H238" s="86">
        <v>0</v>
      </c>
      <c r="I238" s="88">
        <v>0</v>
      </c>
      <c r="J238" s="89">
        <f t="shared" ref="J238:J246" si="14">+I238*H238*G238*F238</f>
        <v>0</v>
      </c>
      <c r="K238" s="610"/>
      <c r="L238" s="613"/>
      <c r="M238" s="619"/>
    </row>
    <row r="239" spans="1:13" ht="15.5">
      <c r="A239" s="85" t="s">
        <v>174</v>
      </c>
      <c r="B239" s="116"/>
      <c r="C239" s="85"/>
      <c r="D239" s="85"/>
      <c r="E239" s="85"/>
      <c r="F239" s="86">
        <v>1</v>
      </c>
      <c r="G239" s="87">
        <v>1</v>
      </c>
      <c r="H239" s="86">
        <v>4</v>
      </c>
      <c r="I239" s="88">
        <v>8.0000000000000002E-3</v>
      </c>
      <c r="J239" s="89">
        <f t="shared" si="14"/>
        <v>3.2000000000000001E-2</v>
      </c>
      <c r="K239" s="610"/>
      <c r="L239" s="613"/>
      <c r="M239" s="619"/>
    </row>
    <row r="240" spans="1:13" ht="15.5">
      <c r="A240" s="85"/>
      <c r="B240" s="116"/>
      <c r="C240" s="85"/>
      <c r="D240" s="85"/>
      <c r="E240" s="85"/>
      <c r="F240" s="86">
        <v>1</v>
      </c>
      <c r="G240" s="87">
        <v>1</v>
      </c>
      <c r="H240" s="86">
        <v>4</v>
      </c>
      <c r="I240" s="88">
        <v>7.4999999999999997E-3</v>
      </c>
      <c r="J240" s="89">
        <f t="shared" si="14"/>
        <v>0.03</v>
      </c>
      <c r="K240" s="610"/>
      <c r="L240" s="613"/>
      <c r="M240" s="619"/>
    </row>
    <row r="241" spans="1:13" ht="15.5">
      <c r="A241" s="85" t="s">
        <v>175</v>
      </c>
      <c r="B241" s="116"/>
      <c r="C241" s="85"/>
      <c r="D241" s="85"/>
      <c r="E241" s="85"/>
      <c r="F241" s="86">
        <v>0</v>
      </c>
      <c r="G241" s="87">
        <v>0</v>
      </c>
      <c r="H241" s="86">
        <v>0</v>
      </c>
      <c r="I241" s="88">
        <v>0</v>
      </c>
      <c r="J241" s="89">
        <f t="shared" si="14"/>
        <v>0</v>
      </c>
      <c r="K241" s="610"/>
      <c r="L241" s="613"/>
      <c r="M241" s="619"/>
    </row>
    <row r="242" spans="1:13" ht="15.5">
      <c r="A242" s="85" t="s">
        <v>184</v>
      </c>
      <c r="B242" s="116"/>
      <c r="C242" s="85"/>
      <c r="D242" s="85"/>
      <c r="E242" s="85"/>
      <c r="F242" s="86">
        <v>1</v>
      </c>
      <c r="G242" s="87">
        <v>1</v>
      </c>
      <c r="H242" s="86">
        <v>1</v>
      </c>
      <c r="I242" s="88">
        <v>0.08</v>
      </c>
      <c r="J242" s="89">
        <f t="shared" si="14"/>
        <v>0.08</v>
      </c>
      <c r="K242" s="610"/>
      <c r="L242" s="613"/>
      <c r="M242" s="619"/>
    </row>
    <row r="243" spans="1:13" ht="15.5">
      <c r="A243" s="85"/>
      <c r="B243" s="116"/>
      <c r="C243" s="85"/>
      <c r="D243" s="85"/>
      <c r="E243" s="85"/>
      <c r="F243" s="86">
        <v>1</v>
      </c>
      <c r="G243" s="87">
        <v>1</v>
      </c>
      <c r="H243" s="86">
        <v>1</v>
      </c>
      <c r="I243" s="88">
        <v>4.4999999999999998E-2</v>
      </c>
      <c r="J243" s="89">
        <f t="shared" si="14"/>
        <v>4.4999999999999998E-2</v>
      </c>
      <c r="K243" s="610"/>
      <c r="L243" s="613"/>
      <c r="M243" s="619"/>
    </row>
    <row r="244" spans="1:13" ht="15.5">
      <c r="A244" s="85" t="s">
        <v>176</v>
      </c>
      <c r="B244" s="116"/>
      <c r="C244" s="85"/>
      <c r="D244" s="85"/>
      <c r="E244" s="85"/>
      <c r="F244" s="89">
        <v>0</v>
      </c>
      <c r="G244" s="89">
        <v>0</v>
      </c>
      <c r="H244" s="89">
        <v>0</v>
      </c>
      <c r="I244" s="89">
        <v>0</v>
      </c>
      <c r="J244" s="89">
        <f t="shared" si="14"/>
        <v>0</v>
      </c>
      <c r="K244" s="610"/>
      <c r="L244" s="613"/>
      <c r="M244" s="619"/>
    </row>
    <row r="245" spans="1:13" ht="15.5">
      <c r="A245" s="85" t="s">
        <v>177</v>
      </c>
      <c r="B245" s="116"/>
      <c r="C245" s="85"/>
      <c r="D245" s="85"/>
      <c r="E245" s="85"/>
      <c r="F245" s="89">
        <v>0</v>
      </c>
      <c r="G245" s="89">
        <v>0</v>
      </c>
      <c r="H245" s="89">
        <v>0</v>
      </c>
      <c r="I245" s="89">
        <v>0</v>
      </c>
      <c r="J245" s="89">
        <f t="shared" si="14"/>
        <v>0</v>
      </c>
      <c r="K245" s="610"/>
      <c r="L245" s="613"/>
      <c r="M245" s="619"/>
    </row>
    <row r="246" spans="1:13" ht="19.5" customHeight="1">
      <c r="A246" s="146" t="s">
        <v>179</v>
      </c>
      <c r="B246" s="118"/>
      <c r="C246" s="104"/>
      <c r="D246" s="104"/>
      <c r="E246" s="104"/>
      <c r="F246" s="105">
        <v>1</v>
      </c>
      <c r="G246" s="106">
        <v>2</v>
      </c>
      <c r="H246" s="105">
        <v>5</v>
      </c>
      <c r="I246" s="144">
        <f>0.004/5</f>
        <v>8.0000000000000004E-4</v>
      </c>
      <c r="J246" s="145">
        <f t="shared" si="14"/>
        <v>8.0000000000000002E-3</v>
      </c>
      <c r="K246" s="611"/>
      <c r="L246" s="614"/>
      <c r="M246" s="620"/>
    </row>
    <row r="247" spans="1:13" ht="55.5" customHeight="1">
      <c r="A247" s="264" t="s">
        <v>225</v>
      </c>
      <c r="B247" s="245">
        <v>0</v>
      </c>
      <c r="C247" s="245">
        <v>0</v>
      </c>
      <c r="D247" s="235">
        <v>0</v>
      </c>
      <c r="E247" s="235">
        <v>0</v>
      </c>
      <c r="F247" s="260">
        <v>1</v>
      </c>
      <c r="G247" s="260">
        <v>2</v>
      </c>
      <c r="H247" s="260">
        <v>5</v>
      </c>
      <c r="I247" s="273"/>
      <c r="J247" s="239">
        <f>+SUM(J248:J257)</f>
        <v>0.22600000000000001</v>
      </c>
      <c r="K247" s="609" t="s">
        <v>149</v>
      </c>
      <c r="L247" s="612" t="s">
        <v>254</v>
      </c>
      <c r="M247" s="618" t="s">
        <v>244</v>
      </c>
    </row>
    <row r="248" spans="1:13" ht="15.5">
      <c r="A248" s="102" t="s">
        <v>172</v>
      </c>
      <c r="B248" s="116"/>
      <c r="C248" s="85"/>
      <c r="D248" s="85"/>
      <c r="E248" s="85"/>
      <c r="F248" s="86">
        <v>1</v>
      </c>
      <c r="G248" s="86">
        <v>2</v>
      </c>
      <c r="H248" s="86">
        <v>5</v>
      </c>
      <c r="I248" s="89">
        <v>3.0999999999999999E-3</v>
      </c>
      <c r="J248" s="89">
        <f t="shared" ref="J248:J254" si="15">+I248*H248*G248*F248</f>
        <v>3.1E-2</v>
      </c>
      <c r="K248" s="610"/>
      <c r="L248" s="613"/>
      <c r="M248" s="619"/>
    </row>
    <row r="249" spans="1:13" ht="15.5">
      <c r="A249" s="85" t="s">
        <v>173</v>
      </c>
      <c r="B249" s="116"/>
      <c r="C249" s="85"/>
      <c r="D249" s="85"/>
      <c r="E249" s="85"/>
      <c r="F249" s="89">
        <v>0</v>
      </c>
      <c r="G249" s="89">
        <v>0</v>
      </c>
      <c r="H249" s="89">
        <v>0</v>
      </c>
      <c r="I249" s="89">
        <v>0</v>
      </c>
      <c r="J249" s="89">
        <f t="shared" si="15"/>
        <v>0</v>
      </c>
      <c r="K249" s="610"/>
      <c r="L249" s="613"/>
      <c r="M249" s="619"/>
    </row>
    <row r="250" spans="1:13" ht="15.5">
      <c r="A250" s="85" t="s">
        <v>174</v>
      </c>
      <c r="B250" s="116"/>
      <c r="C250" s="85"/>
      <c r="D250" s="85"/>
      <c r="E250" s="85"/>
      <c r="F250" s="86">
        <v>1</v>
      </c>
      <c r="G250" s="86">
        <v>1</v>
      </c>
      <c r="H250" s="86">
        <v>4</v>
      </c>
      <c r="I250" s="89">
        <v>8.0000000000000002E-3</v>
      </c>
      <c r="J250" s="89">
        <f t="shared" si="15"/>
        <v>3.2000000000000001E-2</v>
      </c>
      <c r="K250" s="610"/>
      <c r="L250" s="613"/>
      <c r="M250" s="619"/>
    </row>
    <row r="251" spans="1:13" ht="15.5">
      <c r="A251" s="85"/>
      <c r="B251" s="116"/>
      <c r="C251" s="85"/>
      <c r="D251" s="85"/>
      <c r="E251" s="89"/>
      <c r="F251" s="86">
        <v>1</v>
      </c>
      <c r="G251" s="86">
        <v>1</v>
      </c>
      <c r="H251" s="86">
        <v>4</v>
      </c>
      <c r="I251" s="89">
        <v>7.4999999999999997E-3</v>
      </c>
      <c r="J251" s="89">
        <f t="shared" si="15"/>
        <v>0.03</v>
      </c>
      <c r="K251" s="610"/>
      <c r="L251" s="613"/>
      <c r="M251" s="619"/>
    </row>
    <row r="252" spans="1:13" ht="15.5">
      <c r="A252" s="85" t="s">
        <v>175</v>
      </c>
      <c r="B252" s="116"/>
      <c r="C252" s="85"/>
      <c r="D252" s="85"/>
      <c r="E252" s="85"/>
      <c r="F252" s="89">
        <v>0</v>
      </c>
      <c r="G252" s="89">
        <v>0</v>
      </c>
      <c r="H252" s="89">
        <v>0</v>
      </c>
      <c r="I252" s="89">
        <v>0</v>
      </c>
      <c r="J252" s="89">
        <f t="shared" si="15"/>
        <v>0</v>
      </c>
      <c r="K252" s="610"/>
      <c r="L252" s="613"/>
      <c r="M252" s="619"/>
    </row>
    <row r="253" spans="1:13" ht="15.5">
      <c r="A253" s="85" t="s">
        <v>184</v>
      </c>
      <c r="B253" s="116"/>
      <c r="C253" s="85"/>
      <c r="D253" s="85"/>
      <c r="E253" s="85"/>
      <c r="F253" s="86">
        <v>1</v>
      </c>
      <c r="G253" s="86">
        <v>1</v>
      </c>
      <c r="H253" s="86">
        <v>1</v>
      </c>
      <c r="I253" s="88">
        <v>0.08</v>
      </c>
      <c r="J253" s="89">
        <f t="shared" si="15"/>
        <v>0.08</v>
      </c>
      <c r="K253" s="610"/>
      <c r="L253" s="613"/>
      <c r="M253" s="619"/>
    </row>
    <row r="254" spans="1:13" ht="15.5">
      <c r="A254" s="85"/>
      <c r="B254" s="116"/>
      <c r="C254" s="85"/>
      <c r="D254" s="85"/>
      <c r="E254" s="85"/>
      <c r="F254" s="86">
        <v>1</v>
      </c>
      <c r="G254" s="86">
        <v>1</v>
      </c>
      <c r="H254" s="86">
        <v>1</v>
      </c>
      <c r="I254" s="88">
        <v>4.4999999999999998E-2</v>
      </c>
      <c r="J254" s="89">
        <f t="shared" si="15"/>
        <v>4.4999999999999998E-2</v>
      </c>
      <c r="K254" s="610"/>
      <c r="L254" s="613"/>
      <c r="M254" s="619"/>
    </row>
    <row r="255" spans="1:13" ht="15.5">
      <c r="A255" s="85" t="s">
        <v>176</v>
      </c>
      <c r="B255" s="116"/>
      <c r="C255" s="85"/>
      <c r="D255" s="85"/>
      <c r="E255" s="85"/>
      <c r="F255" s="89">
        <v>0</v>
      </c>
      <c r="G255" s="89">
        <v>0</v>
      </c>
      <c r="H255" s="89">
        <v>0</v>
      </c>
      <c r="I255" s="89">
        <v>0</v>
      </c>
      <c r="J255" s="89">
        <v>0</v>
      </c>
      <c r="K255" s="610"/>
      <c r="L255" s="613"/>
      <c r="M255" s="619"/>
    </row>
    <row r="256" spans="1:13" ht="15.5">
      <c r="A256" s="85" t="s">
        <v>177</v>
      </c>
      <c r="B256" s="116"/>
      <c r="C256" s="85"/>
      <c r="D256" s="85"/>
      <c r="E256" s="85"/>
      <c r="F256" s="89">
        <v>0</v>
      </c>
      <c r="G256" s="89">
        <v>0</v>
      </c>
      <c r="H256" s="89">
        <v>0</v>
      </c>
      <c r="I256" s="89">
        <v>0</v>
      </c>
      <c r="J256" s="89">
        <v>0</v>
      </c>
      <c r="K256" s="610"/>
      <c r="L256" s="613"/>
      <c r="M256" s="619"/>
    </row>
    <row r="257" spans="1:13" ht="19.5" customHeight="1">
      <c r="A257" s="146" t="s">
        <v>179</v>
      </c>
      <c r="B257" s="118"/>
      <c r="C257" s="104"/>
      <c r="D257" s="104"/>
      <c r="E257" s="104"/>
      <c r="F257" s="105">
        <v>1</v>
      </c>
      <c r="G257" s="106">
        <v>2</v>
      </c>
      <c r="H257" s="105">
        <v>5</v>
      </c>
      <c r="I257" s="144">
        <f>0.004/5</f>
        <v>8.0000000000000004E-4</v>
      </c>
      <c r="J257" s="145">
        <f>+I257*H257*G257*F257</f>
        <v>8.0000000000000002E-3</v>
      </c>
      <c r="K257" s="611"/>
      <c r="L257" s="614"/>
      <c r="M257" s="620"/>
    </row>
    <row r="258" spans="1:13" ht="54.75" customHeight="1">
      <c r="A258" s="264" t="s">
        <v>226</v>
      </c>
      <c r="B258" s="245">
        <v>0</v>
      </c>
      <c r="C258" s="245">
        <v>0</v>
      </c>
      <c r="D258" s="235">
        <v>0</v>
      </c>
      <c r="E258" s="235">
        <v>0</v>
      </c>
      <c r="F258" s="241">
        <v>1</v>
      </c>
      <c r="G258" s="242">
        <v>2</v>
      </c>
      <c r="H258" s="241">
        <v>5</v>
      </c>
      <c r="I258" s="243"/>
      <c r="J258" s="239">
        <f>+SUM(J259:J268)</f>
        <v>0.22600000000000001</v>
      </c>
      <c r="K258" s="609" t="s">
        <v>149</v>
      </c>
      <c r="L258" s="612" t="s">
        <v>254</v>
      </c>
      <c r="M258" s="618" t="s">
        <v>245</v>
      </c>
    </row>
    <row r="259" spans="1:13" ht="15.5">
      <c r="A259" s="102" t="s">
        <v>172</v>
      </c>
      <c r="B259" s="116"/>
      <c r="C259" s="85"/>
      <c r="D259" s="85"/>
      <c r="E259" s="85"/>
      <c r="F259" s="86">
        <v>1</v>
      </c>
      <c r="G259" s="87">
        <v>2</v>
      </c>
      <c r="H259" s="86">
        <v>5</v>
      </c>
      <c r="I259" s="88">
        <v>3.0999999999999999E-3</v>
      </c>
      <c r="J259" s="89">
        <f>+I259*H259*G259</f>
        <v>3.1E-2</v>
      </c>
      <c r="K259" s="610"/>
      <c r="L259" s="613"/>
      <c r="M259" s="619"/>
    </row>
    <row r="260" spans="1:13" ht="15.5">
      <c r="A260" s="85" t="s">
        <v>173</v>
      </c>
      <c r="B260" s="116"/>
      <c r="C260" s="85"/>
      <c r="D260" s="85"/>
      <c r="E260" s="85"/>
      <c r="F260" s="86">
        <v>0</v>
      </c>
      <c r="G260" s="87">
        <v>0</v>
      </c>
      <c r="H260" s="86">
        <v>0</v>
      </c>
      <c r="I260" s="88">
        <v>0</v>
      </c>
      <c r="J260" s="89">
        <f t="shared" ref="J260:J268" si="16">+I260*H260*G260*F260</f>
        <v>0</v>
      </c>
      <c r="K260" s="610"/>
      <c r="L260" s="613"/>
      <c r="M260" s="619"/>
    </row>
    <row r="261" spans="1:13" ht="15.5">
      <c r="A261" s="85" t="s">
        <v>174</v>
      </c>
      <c r="B261" s="116"/>
      <c r="C261" s="85"/>
      <c r="D261" s="85"/>
      <c r="E261" s="85"/>
      <c r="F261" s="86">
        <v>1</v>
      </c>
      <c r="G261" s="87">
        <v>1</v>
      </c>
      <c r="H261" s="86">
        <v>4</v>
      </c>
      <c r="I261" s="88">
        <v>8.0000000000000002E-3</v>
      </c>
      <c r="J261" s="89">
        <f t="shared" si="16"/>
        <v>3.2000000000000001E-2</v>
      </c>
      <c r="K261" s="610"/>
      <c r="L261" s="613"/>
      <c r="M261" s="619"/>
    </row>
    <row r="262" spans="1:13" ht="15.5">
      <c r="A262" s="85"/>
      <c r="B262" s="116"/>
      <c r="C262" s="85"/>
      <c r="D262" s="85"/>
      <c r="E262" s="85"/>
      <c r="F262" s="86">
        <v>1</v>
      </c>
      <c r="G262" s="87">
        <v>1</v>
      </c>
      <c r="H262" s="86">
        <v>4</v>
      </c>
      <c r="I262" s="88">
        <v>7.4999999999999997E-3</v>
      </c>
      <c r="J262" s="89">
        <f t="shared" si="16"/>
        <v>0.03</v>
      </c>
      <c r="K262" s="610"/>
      <c r="L262" s="613"/>
      <c r="M262" s="619"/>
    </row>
    <row r="263" spans="1:13" ht="15.5">
      <c r="A263" s="85" t="s">
        <v>175</v>
      </c>
      <c r="B263" s="116"/>
      <c r="C263" s="85"/>
      <c r="D263" s="85"/>
      <c r="E263" s="85"/>
      <c r="F263" s="86">
        <v>0</v>
      </c>
      <c r="G263" s="87">
        <v>0</v>
      </c>
      <c r="H263" s="86">
        <v>0</v>
      </c>
      <c r="I263" s="88">
        <v>0</v>
      </c>
      <c r="J263" s="89">
        <f t="shared" si="16"/>
        <v>0</v>
      </c>
      <c r="K263" s="610"/>
      <c r="L263" s="613"/>
      <c r="M263" s="619"/>
    </row>
    <row r="264" spans="1:13" ht="15.5">
      <c r="A264" s="85" t="s">
        <v>184</v>
      </c>
      <c r="B264" s="116"/>
      <c r="C264" s="85"/>
      <c r="D264" s="85"/>
      <c r="E264" s="85"/>
      <c r="F264" s="86">
        <v>1</v>
      </c>
      <c r="G264" s="87">
        <v>1</v>
      </c>
      <c r="H264" s="86">
        <v>1</v>
      </c>
      <c r="I264" s="88">
        <v>0.08</v>
      </c>
      <c r="J264" s="89">
        <f t="shared" si="16"/>
        <v>0.08</v>
      </c>
      <c r="K264" s="610"/>
      <c r="L264" s="613"/>
      <c r="M264" s="619"/>
    </row>
    <row r="265" spans="1:13" ht="15.5">
      <c r="A265" s="85"/>
      <c r="B265" s="116"/>
      <c r="C265" s="85"/>
      <c r="D265" s="85"/>
      <c r="E265" s="85"/>
      <c r="F265" s="86">
        <v>1</v>
      </c>
      <c r="G265" s="87">
        <v>1</v>
      </c>
      <c r="H265" s="86">
        <v>1</v>
      </c>
      <c r="I265" s="88">
        <v>4.4999999999999998E-2</v>
      </c>
      <c r="J265" s="89">
        <f t="shared" si="16"/>
        <v>4.4999999999999998E-2</v>
      </c>
      <c r="K265" s="610"/>
      <c r="L265" s="613"/>
      <c r="M265" s="619"/>
    </row>
    <row r="266" spans="1:13" ht="15.5">
      <c r="A266" s="85" t="s">
        <v>176</v>
      </c>
      <c r="B266" s="116"/>
      <c r="C266" s="85"/>
      <c r="D266" s="85"/>
      <c r="E266" s="85"/>
      <c r="F266" s="86">
        <v>0</v>
      </c>
      <c r="G266" s="87">
        <v>0</v>
      </c>
      <c r="H266" s="86">
        <v>0</v>
      </c>
      <c r="I266" s="88">
        <v>0</v>
      </c>
      <c r="J266" s="89">
        <f t="shared" si="16"/>
        <v>0</v>
      </c>
      <c r="K266" s="610"/>
      <c r="L266" s="613"/>
      <c r="M266" s="619"/>
    </row>
    <row r="267" spans="1:13" ht="15.5">
      <c r="A267" s="85" t="s">
        <v>177</v>
      </c>
      <c r="B267" s="116"/>
      <c r="C267" s="85"/>
      <c r="D267" s="85"/>
      <c r="E267" s="85"/>
      <c r="F267" s="86">
        <v>0</v>
      </c>
      <c r="G267" s="87">
        <v>0</v>
      </c>
      <c r="H267" s="86">
        <v>0</v>
      </c>
      <c r="I267" s="88">
        <v>0</v>
      </c>
      <c r="J267" s="89">
        <f t="shared" si="16"/>
        <v>0</v>
      </c>
      <c r="K267" s="610"/>
      <c r="L267" s="613"/>
      <c r="M267" s="619"/>
    </row>
    <row r="268" spans="1:13" ht="19.5" customHeight="1">
      <c r="A268" s="146" t="s">
        <v>179</v>
      </c>
      <c r="B268" s="118"/>
      <c r="C268" s="104"/>
      <c r="D268" s="104"/>
      <c r="E268" s="104"/>
      <c r="F268" s="105">
        <v>1</v>
      </c>
      <c r="G268" s="106">
        <v>2</v>
      </c>
      <c r="H268" s="105">
        <v>5</v>
      </c>
      <c r="I268" s="144">
        <f>0.004/5</f>
        <v>8.0000000000000004E-4</v>
      </c>
      <c r="J268" s="145">
        <f t="shared" si="16"/>
        <v>8.0000000000000002E-3</v>
      </c>
      <c r="K268" s="611"/>
      <c r="L268" s="614"/>
      <c r="M268" s="620"/>
    </row>
    <row r="269" spans="1:13" ht="113.25" customHeight="1">
      <c r="A269" s="264" t="s">
        <v>227</v>
      </c>
      <c r="B269" s="265">
        <v>0</v>
      </c>
      <c r="C269" s="266">
        <v>0</v>
      </c>
      <c r="D269" s="249">
        <v>0.13389999999999999</v>
      </c>
      <c r="E269" s="240" t="s">
        <v>208</v>
      </c>
      <c r="F269" s="246">
        <v>1</v>
      </c>
      <c r="G269" s="247">
        <v>2</v>
      </c>
      <c r="H269" s="246">
        <v>3</v>
      </c>
      <c r="I269" s="267"/>
      <c r="J269" s="239">
        <f>+SUM(J270:J279)</f>
        <v>9.06E-2</v>
      </c>
      <c r="K269" s="609" t="s">
        <v>149</v>
      </c>
      <c r="L269" s="612" t="s">
        <v>315</v>
      </c>
      <c r="M269" s="618" t="s">
        <v>246</v>
      </c>
    </row>
    <row r="270" spans="1:13" ht="15.5">
      <c r="A270" s="102" t="s">
        <v>172</v>
      </c>
      <c r="B270" s="116"/>
      <c r="C270" s="85"/>
      <c r="D270" s="85"/>
      <c r="E270" s="85"/>
      <c r="F270" s="86">
        <v>1</v>
      </c>
      <c r="G270" s="87">
        <v>2</v>
      </c>
      <c r="H270" s="86">
        <v>3</v>
      </c>
      <c r="I270" s="88">
        <v>3.0999999999999999E-3</v>
      </c>
      <c r="J270" s="89">
        <f>+I270*H270*G270</f>
        <v>1.8599999999999998E-2</v>
      </c>
      <c r="K270" s="610"/>
      <c r="L270" s="613"/>
      <c r="M270" s="619"/>
    </row>
    <row r="271" spans="1:13" ht="15.5">
      <c r="A271" s="85" t="s">
        <v>173</v>
      </c>
      <c r="B271" s="116"/>
      <c r="C271" s="85"/>
      <c r="D271" s="85"/>
      <c r="E271" s="85"/>
      <c r="F271" s="86">
        <v>0</v>
      </c>
      <c r="G271" s="87">
        <v>0</v>
      </c>
      <c r="H271" s="86">
        <v>0</v>
      </c>
      <c r="I271" s="88">
        <v>2.0999999999999999E-3</v>
      </c>
      <c r="J271" s="89">
        <f t="shared" ref="J271:J279" si="17">+I271*H271*G271*F271</f>
        <v>0</v>
      </c>
      <c r="K271" s="610"/>
      <c r="L271" s="613"/>
      <c r="M271" s="619"/>
    </row>
    <row r="272" spans="1:13" ht="15.5">
      <c r="A272" s="151" t="s">
        <v>174</v>
      </c>
      <c r="B272" s="116"/>
      <c r="C272" s="85"/>
      <c r="D272" s="85"/>
      <c r="E272" s="85"/>
      <c r="F272" s="86">
        <v>1</v>
      </c>
      <c r="G272" s="87">
        <v>1</v>
      </c>
      <c r="H272" s="86">
        <v>2</v>
      </c>
      <c r="I272" s="88">
        <v>6.0000000000000001E-3</v>
      </c>
      <c r="J272" s="89">
        <f t="shared" si="17"/>
        <v>1.2E-2</v>
      </c>
      <c r="K272" s="610"/>
      <c r="L272" s="613"/>
      <c r="M272" s="619"/>
    </row>
    <row r="273" spans="1:13" ht="15.5">
      <c r="A273" s="141"/>
      <c r="B273" s="116"/>
      <c r="C273" s="85"/>
      <c r="D273" s="85"/>
      <c r="E273" s="85"/>
      <c r="F273" s="86">
        <v>1</v>
      </c>
      <c r="G273" s="87">
        <v>1</v>
      </c>
      <c r="H273" s="86">
        <v>2</v>
      </c>
      <c r="I273" s="88">
        <v>5.0000000000000001E-3</v>
      </c>
      <c r="J273" s="89">
        <f t="shared" si="17"/>
        <v>0.01</v>
      </c>
      <c r="K273" s="610"/>
      <c r="L273" s="613"/>
      <c r="M273" s="619"/>
    </row>
    <row r="274" spans="1:13" ht="15.5">
      <c r="A274" s="85" t="s">
        <v>175</v>
      </c>
      <c r="B274" s="116"/>
      <c r="C274" s="85"/>
      <c r="D274" s="85"/>
      <c r="E274" s="85"/>
      <c r="F274" s="89">
        <v>0</v>
      </c>
      <c r="G274" s="89">
        <v>0</v>
      </c>
      <c r="H274" s="89">
        <v>0</v>
      </c>
      <c r="I274" s="88">
        <v>0</v>
      </c>
      <c r="J274" s="89">
        <f t="shared" si="17"/>
        <v>0</v>
      </c>
      <c r="K274" s="610"/>
      <c r="L274" s="613"/>
      <c r="M274" s="619"/>
    </row>
    <row r="275" spans="1:13" ht="15.5">
      <c r="A275" s="151" t="s">
        <v>184</v>
      </c>
      <c r="B275" s="116"/>
      <c r="C275" s="85"/>
      <c r="D275" s="85"/>
      <c r="E275" s="85"/>
      <c r="F275" s="86">
        <v>1</v>
      </c>
      <c r="G275" s="87">
        <v>1</v>
      </c>
      <c r="H275" s="86">
        <v>1</v>
      </c>
      <c r="I275" s="88">
        <v>2.5000000000000001E-2</v>
      </c>
      <c r="J275" s="89">
        <f t="shared" si="17"/>
        <v>2.5000000000000001E-2</v>
      </c>
      <c r="K275" s="610"/>
      <c r="L275" s="613"/>
      <c r="M275" s="619"/>
    </row>
    <row r="276" spans="1:13" ht="15.5">
      <c r="A276" s="141"/>
      <c r="B276" s="116"/>
      <c r="C276" s="85"/>
      <c r="D276" s="85"/>
      <c r="E276" s="85"/>
      <c r="F276" s="86">
        <v>1</v>
      </c>
      <c r="G276" s="87">
        <v>1</v>
      </c>
      <c r="H276" s="86">
        <v>1</v>
      </c>
      <c r="I276" s="88">
        <v>1.7000000000000001E-2</v>
      </c>
      <c r="J276" s="89">
        <f t="shared" si="17"/>
        <v>1.7000000000000001E-2</v>
      </c>
      <c r="K276" s="610"/>
      <c r="L276" s="613"/>
      <c r="M276" s="619"/>
    </row>
    <row r="277" spans="1:13" ht="15.5">
      <c r="A277" s="85" t="s">
        <v>176</v>
      </c>
      <c r="B277" s="116"/>
      <c r="C277" s="85"/>
      <c r="D277" s="85"/>
      <c r="E277" s="85"/>
      <c r="F277" s="86">
        <v>0</v>
      </c>
      <c r="G277" s="87">
        <v>0</v>
      </c>
      <c r="H277" s="86">
        <v>0</v>
      </c>
      <c r="I277" s="88">
        <v>0</v>
      </c>
      <c r="J277" s="89">
        <f t="shared" si="17"/>
        <v>0</v>
      </c>
      <c r="K277" s="610"/>
      <c r="L277" s="613"/>
      <c r="M277" s="619"/>
    </row>
    <row r="278" spans="1:13" ht="15.5">
      <c r="A278" s="85" t="s">
        <v>177</v>
      </c>
      <c r="B278" s="116"/>
      <c r="C278" s="85"/>
      <c r="D278" s="85"/>
      <c r="E278" s="85"/>
      <c r="F278" s="86">
        <v>0</v>
      </c>
      <c r="G278" s="87">
        <v>0</v>
      </c>
      <c r="H278" s="86">
        <v>0</v>
      </c>
      <c r="I278" s="88">
        <v>0</v>
      </c>
      <c r="J278" s="89">
        <f t="shared" si="17"/>
        <v>0</v>
      </c>
      <c r="K278" s="610"/>
      <c r="L278" s="613"/>
      <c r="M278" s="619"/>
    </row>
    <row r="279" spans="1:13" ht="15.5">
      <c r="A279" s="104" t="s">
        <v>179</v>
      </c>
      <c r="B279" s="118"/>
      <c r="C279" s="104"/>
      <c r="D279" s="104"/>
      <c r="E279" s="104"/>
      <c r="F279" s="95">
        <v>1</v>
      </c>
      <c r="G279" s="96">
        <v>2</v>
      </c>
      <c r="H279" s="95">
        <v>3</v>
      </c>
      <c r="I279" s="125">
        <f>0.004/3</f>
        <v>1.33333333333333E-3</v>
      </c>
      <c r="J279" s="122">
        <f t="shared" si="17"/>
        <v>8.0000000000000002E-3</v>
      </c>
      <c r="K279" s="611"/>
      <c r="L279" s="614"/>
      <c r="M279" s="620"/>
    </row>
    <row r="280" spans="1:13" s="101" customFormat="1" ht="39" customHeight="1">
      <c r="A280" s="244" t="s">
        <v>228</v>
      </c>
      <c r="B280" s="249">
        <v>4.4400000000000002E-2</v>
      </c>
      <c r="C280" s="249">
        <v>3.0745999999999999E-2</v>
      </c>
      <c r="D280" s="249">
        <v>4.8399999999999999E-2</v>
      </c>
      <c r="E280" s="240" t="s">
        <v>208</v>
      </c>
      <c r="F280" s="246">
        <v>1</v>
      </c>
      <c r="G280" s="247">
        <v>2</v>
      </c>
      <c r="H280" s="246">
        <v>4</v>
      </c>
      <c r="I280" s="248"/>
      <c r="J280" s="239">
        <f>+SUM(J281:J288)</f>
        <v>9.1399999999999995E-2</v>
      </c>
      <c r="K280" s="609" t="s">
        <v>149</v>
      </c>
      <c r="L280" s="612" t="s">
        <v>316</v>
      </c>
      <c r="M280" s="629" t="s">
        <v>234</v>
      </c>
    </row>
    <row r="281" spans="1:13" s="101" customFormat="1" ht="15.5">
      <c r="A281" s="102" t="s">
        <v>172</v>
      </c>
      <c r="B281" s="102"/>
      <c r="C281" s="102"/>
      <c r="D281" s="85"/>
      <c r="E281" s="85"/>
      <c r="F281" s="86">
        <v>0</v>
      </c>
      <c r="G281" s="87">
        <v>0</v>
      </c>
      <c r="H281" s="86">
        <v>0</v>
      </c>
      <c r="I281" s="88">
        <v>0</v>
      </c>
      <c r="J281" s="89">
        <f>+I281*H281</f>
        <v>0</v>
      </c>
      <c r="K281" s="610"/>
      <c r="L281" s="613"/>
      <c r="M281" s="630"/>
    </row>
    <row r="282" spans="1:13" s="101" customFormat="1" ht="15.5">
      <c r="A282" s="85" t="s">
        <v>173</v>
      </c>
      <c r="B282" s="85"/>
      <c r="C282" s="85"/>
      <c r="D282" s="85"/>
      <c r="E282" s="85"/>
      <c r="F282" s="86">
        <v>1</v>
      </c>
      <c r="G282" s="87">
        <v>2</v>
      </c>
      <c r="H282" s="86">
        <v>4</v>
      </c>
      <c r="I282" s="88">
        <v>2.0999999999999999E-3</v>
      </c>
      <c r="J282" s="85">
        <f>+I282*H282*G282*F282</f>
        <v>1.6799999999999999E-2</v>
      </c>
      <c r="K282" s="610"/>
      <c r="L282" s="613"/>
      <c r="M282" s="630"/>
    </row>
    <row r="283" spans="1:13" s="101" customFormat="1" ht="15.5">
      <c r="A283" s="85" t="s">
        <v>174</v>
      </c>
      <c r="B283" s="85"/>
      <c r="C283" s="85"/>
      <c r="D283" s="85"/>
      <c r="E283" s="85"/>
      <c r="F283" s="86">
        <v>0</v>
      </c>
      <c r="G283" s="87">
        <v>0</v>
      </c>
      <c r="H283" s="86">
        <v>0</v>
      </c>
      <c r="I283" s="88">
        <v>0</v>
      </c>
      <c r="J283" s="89">
        <f>+I283*H283</f>
        <v>0</v>
      </c>
      <c r="K283" s="610"/>
      <c r="L283" s="613"/>
      <c r="M283" s="630"/>
    </row>
    <row r="284" spans="1:13" s="101" customFormat="1" ht="15.5">
      <c r="A284" s="85" t="s">
        <v>175</v>
      </c>
      <c r="B284" s="85"/>
      <c r="C284" s="85"/>
      <c r="D284" s="85"/>
      <c r="E284" s="85"/>
      <c r="F284" s="86">
        <v>1</v>
      </c>
      <c r="G284" s="87">
        <v>2</v>
      </c>
      <c r="H284" s="86">
        <v>3</v>
      </c>
      <c r="I284" s="88">
        <f>0.005</f>
        <v>5.0000000000000001E-3</v>
      </c>
      <c r="J284" s="89">
        <f>+I284*H284*G284*F284</f>
        <v>0.03</v>
      </c>
      <c r="K284" s="610"/>
      <c r="L284" s="613"/>
      <c r="M284" s="630"/>
    </row>
    <row r="285" spans="1:13" s="101" customFormat="1" ht="15.5">
      <c r="A285" s="85" t="s">
        <v>184</v>
      </c>
      <c r="B285" s="85"/>
      <c r="C285" s="85"/>
      <c r="D285" s="85"/>
      <c r="E285" s="85"/>
      <c r="F285" s="86">
        <v>1</v>
      </c>
      <c r="G285" s="87">
        <v>2</v>
      </c>
      <c r="H285" s="86">
        <v>1</v>
      </c>
      <c r="I285" s="88">
        <f>0.018</f>
        <v>1.7999999999999999E-2</v>
      </c>
      <c r="J285" s="89">
        <f>+I285*H285*G285*F285</f>
        <v>3.5999999999999997E-2</v>
      </c>
      <c r="K285" s="610"/>
      <c r="L285" s="613"/>
      <c r="M285" s="630"/>
    </row>
    <row r="286" spans="1:13" s="101" customFormat="1" ht="15.5">
      <c r="A286" s="85" t="s">
        <v>176</v>
      </c>
      <c r="B286" s="85"/>
      <c r="C286" s="85"/>
      <c r="D286" s="85"/>
      <c r="E286" s="85"/>
      <c r="F286" s="89">
        <v>0</v>
      </c>
      <c r="G286" s="89">
        <v>0</v>
      </c>
      <c r="H286" s="89">
        <v>0</v>
      </c>
      <c r="I286" s="88">
        <v>0</v>
      </c>
      <c r="J286" s="89">
        <f>+I286*H286</f>
        <v>0</v>
      </c>
      <c r="K286" s="610"/>
      <c r="L286" s="613"/>
      <c r="M286" s="630"/>
    </row>
    <row r="287" spans="1:13" s="101" customFormat="1" ht="15.5">
      <c r="A287" s="85" t="s">
        <v>177</v>
      </c>
      <c r="B287" s="85"/>
      <c r="C287" s="85"/>
      <c r="D287" s="85"/>
      <c r="E287" s="85"/>
      <c r="F287" s="89">
        <v>0</v>
      </c>
      <c r="G287" s="89">
        <v>0</v>
      </c>
      <c r="H287" s="89">
        <v>0</v>
      </c>
      <c r="I287" s="88">
        <v>0</v>
      </c>
      <c r="J287" s="89">
        <f>+I287*H287</f>
        <v>0</v>
      </c>
      <c r="K287" s="610"/>
      <c r="L287" s="613"/>
      <c r="M287" s="630"/>
    </row>
    <row r="288" spans="1:13" s="101" customFormat="1" ht="90" customHeight="1">
      <c r="A288" s="103" t="s">
        <v>179</v>
      </c>
      <c r="B288" s="104"/>
      <c r="C288" s="104"/>
      <c r="D288" s="104"/>
      <c r="E288" s="104"/>
      <c r="F288" s="105">
        <v>1</v>
      </c>
      <c r="G288" s="106">
        <v>2</v>
      </c>
      <c r="H288" s="105">
        <v>4</v>
      </c>
      <c r="I288" s="107">
        <f>0.0043/4</f>
        <v>1.075E-3</v>
      </c>
      <c r="J288" s="103">
        <f>+I288*H288*G288*F288</f>
        <v>8.6E-3</v>
      </c>
      <c r="K288" s="611"/>
      <c r="L288" s="614"/>
      <c r="M288" s="631"/>
    </row>
    <row r="289" spans="1:13" s="101" customFormat="1" ht="39" customHeight="1">
      <c r="A289" s="244" t="s">
        <v>229</v>
      </c>
      <c r="B289" s="249">
        <v>0</v>
      </c>
      <c r="C289" s="249">
        <v>0</v>
      </c>
      <c r="D289" s="249">
        <v>0.13489999999999999</v>
      </c>
      <c r="E289" s="240">
        <v>6.4999999999999997E-3</v>
      </c>
      <c r="F289" s="246">
        <v>1</v>
      </c>
      <c r="G289" s="247">
        <v>2</v>
      </c>
      <c r="H289" s="246">
        <v>4</v>
      </c>
      <c r="I289" s="274"/>
      <c r="J289" s="239">
        <f>+SUM(J290:J299)</f>
        <v>0.2878</v>
      </c>
      <c r="K289" s="609" t="s">
        <v>149</v>
      </c>
      <c r="L289" s="612" t="s">
        <v>253</v>
      </c>
      <c r="M289" s="615" t="s">
        <v>247</v>
      </c>
    </row>
    <row r="290" spans="1:13" s="101" customFormat="1" ht="15.5">
      <c r="A290" s="102" t="s">
        <v>172</v>
      </c>
      <c r="B290" s="89"/>
      <c r="C290" s="102"/>
      <c r="D290" s="85"/>
      <c r="E290" s="85"/>
      <c r="F290" s="86">
        <v>1</v>
      </c>
      <c r="G290" s="87">
        <v>2</v>
      </c>
      <c r="H290" s="86">
        <v>4</v>
      </c>
      <c r="I290" s="88">
        <v>3.0999999999999999E-3</v>
      </c>
      <c r="J290" s="85">
        <f>+I290*H290*G290*F290</f>
        <v>2.4799999999999999E-2</v>
      </c>
      <c r="K290" s="610"/>
      <c r="L290" s="613"/>
      <c r="M290" s="616"/>
    </row>
    <row r="291" spans="1:13" s="101" customFormat="1" ht="15.5">
      <c r="A291" s="85" t="s">
        <v>173</v>
      </c>
      <c r="B291" s="85"/>
      <c r="C291" s="85"/>
      <c r="D291" s="85"/>
      <c r="E291" s="85"/>
      <c r="F291" s="89">
        <v>0</v>
      </c>
      <c r="G291" s="89">
        <v>0</v>
      </c>
      <c r="H291" s="89">
        <v>0</v>
      </c>
      <c r="I291" s="88">
        <v>0</v>
      </c>
      <c r="J291" s="89">
        <f>+I291*H291</f>
        <v>0</v>
      </c>
      <c r="K291" s="610"/>
      <c r="L291" s="613"/>
      <c r="M291" s="616"/>
    </row>
    <row r="292" spans="1:13" s="101" customFormat="1" ht="15.5">
      <c r="A292" s="85" t="s">
        <v>174</v>
      </c>
      <c r="B292" s="89"/>
      <c r="C292" s="85"/>
      <c r="D292" s="85"/>
      <c r="E292" s="85"/>
      <c r="F292" s="86">
        <v>1</v>
      </c>
      <c r="G292" s="87">
        <v>1</v>
      </c>
      <c r="H292" s="86">
        <v>3</v>
      </c>
      <c r="I292" s="88">
        <f>0.008</f>
        <v>8.0000000000000002E-3</v>
      </c>
      <c r="J292" s="89">
        <f>+I292*H292</f>
        <v>2.4E-2</v>
      </c>
      <c r="K292" s="610"/>
      <c r="L292" s="613"/>
      <c r="M292" s="616"/>
    </row>
    <row r="293" spans="1:13" s="101" customFormat="1" ht="15.5">
      <c r="A293" s="85"/>
      <c r="B293" s="89"/>
      <c r="C293" s="85"/>
      <c r="D293" s="85"/>
      <c r="E293" s="85"/>
      <c r="F293" s="86">
        <v>1</v>
      </c>
      <c r="G293" s="87">
        <v>1</v>
      </c>
      <c r="H293" s="86">
        <v>3</v>
      </c>
      <c r="I293" s="88">
        <f>0.007</f>
        <v>7.0000000000000001E-3</v>
      </c>
      <c r="J293" s="89">
        <f>+I293*H293*G293*F293</f>
        <v>2.1000000000000001E-2</v>
      </c>
      <c r="K293" s="610"/>
      <c r="L293" s="613"/>
      <c r="M293" s="616"/>
    </row>
    <row r="294" spans="1:13" s="101" customFormat="1" ht="15.5">
      <c r="A294" s="85" t="s">
        <v>175</v>
      </c>
      <c r="B294" s="85"/>
      <c r="C294" s="85"/>
      <c r="D294" s="85"/>
      <c r="E294" s="85"/>
      <c r="F294" s="89">
        <v>0</v>
      </c>
      <c r="G294" s="89">
        <v>0</v>
      </c>
      <c r="H294" s="89">
        <v>0</v>
      </c>
      <c r="I294" s="88">
        <v>0</v>
      </c>
      <c r="J294" s="89">
        <f>+I294*H294</f>
        <v>0</v>
      </c>
      <c r="K294" s="610"/>
      <c r="L294" s="613"/>
      <c r="M294" s="616"/>
    </row>
    <row r="295" spans="1:13" s="101" customFormat="1" ht="15.5">
      <c r="A295" s="85" t="s">
        <v>184</v>
      </c>
      <c r="B295" s="89"/>
      <c r="C295" s="85"/>
      <c r="D295" s="85"/>
      <c r="E295" s="85"/>
      <c r="F295" s="86">
        <v>1</v>
      </c>
      <c r="G295" s="87">
        <v>1</v>
      </c>
      <c r="H295" s="86">
        <v>1</v>
      </c>
      <c r="I295" s="88">
        <f>0.1335</f>
        <v>0.13350000000000001</v>
      </c>
      <c r="J295" s="89">
        <f>+I295*H295*G295*F295</f>
        <v>0.13350000000000001</v>
      </c>
      <c r="K295" s="610"/>
      <c r="L295" s="613"/>
      <c r="M295" s="616"/>
    </row>
    <row r="296" spans="1:13" s="101" customFormat="1" ht="15.5">
      <c r="A296" s="85"/>
      <c r="B296" s="85"/>
      <c r="C296" s="85"/>
      <c r="D296" s="85"/>
      <c r="E296" s="85"/>
      <c r="F296" s="86">
        <v>1</v>
      </c>
      <c r="G296" s="87">
        <v>1</v>
      </c>
      <c r="H296" s="86">
        <v>1</v>
      </c>
      <c r="I296" s="88">
        <f>0.0565</f>
        <v>5.6500000000000002E-2</v>
      </c>
      <c r="J296" s="89">
        <f>+I296*H296*G296*F296</f>
        <v>5.6500000000000002E-2</v>
      </c>
      <c r="K296" s="610"/>
      <c r="L296" s="613"/>
      <c r="M296" s="616"/>
    </row>
    <row r="297" spans="1:13" s="101" customFormat="1" ht="15.5">
      <c r="A297" s="85" t="s">
        <v>176</v>
      </c>
      <c r="B297" s="85"/>
      <c r="C297" s="85"/>
      <c r="D297" s="85"/>
      <c r="E297" s="85"/>
      <c r="F297" s="86">
        <v>1</v>
      </c>
      <c r="G297" s="87">
        <v>2</v>
      </c>
      <c r="H297" s="86">
        <v>1</v>
      </c>
      <c r="I297" s="88">
        <v>8.9999999999999993E-3</v>
      </c>
      <c r="J297" s="89">
        <f>+I297*H297*G297</f>
        <v>1.7999999999999999E-2</v>
      </c>
      <c r="K297" s="610"/>
      <c r="L297" s="613"/>
      <c r="M297" s="616"/>
    </row>
    <row r="298" spans="1:13" s="101" customFormat="1" ht="15.5">
      <c r="A298" s="85" t="s">
        <v>177</v>
      </c>
      <c r="B298" s="85"/>
      <c r="C298" s="85"/>
      <c r="D298" s="85"/>
      <c r="E298" s="85"/>
      <c r="F298" s="86">
        <v>0</v>
      </c>
      <c r="G298" s="87">
        <v>0</v>
      </c>
      <c r="H298" s="86">
        <v>0</v>
      </c>
      <c r="I298" s="88">
        <v>0</v>
      </c>
      <c r="J298" s="89">
        <f>+I298*H298</f>
        <v>0</v>
      </c>
      <c r="K298" s="610"/>
      <c r="L298" s="613"/>
      <c r="M298" s="616"/>
    </row>
    <row r="299" spans="1:13" s="101" customFormat="1" ht="128.25" customHeight="1">
      <c r="A299" s="103" t="s">
        <v>179</v>
      </c>
      <c r="B299" s="104"/>
      <c r="C299" s="104"/>
      <c r="D299" s="104"/>
      <c r="E299" s="104"/>
      <c r="F299" s="105">
        <v>1</v>
      </c>
      <c r="G299" s="106">
        <v>2</v>
      </c>
      <c r="H299" s="105">
        <v>4</v>
      </c>
      <c r="I299" s="107">
        <f>0.005/4</f>
        <v>1.25E-3</v>
      </c>
      <c r="J299" s="98">
        <f>+I299*H299*G299*F299</f>
        <v>0.01</v>
      </c>
      <c r="K299" s="611"/>
      <c r="L299" s="614"/>
      <c r="M299" s="617"/>
    </row>
    <row r="300" spans="1:13" ht="62">
      <c r="A300" s="275" t="s">
        <v>230</v>
      </c>
      <c r="B300" s="265">
        <v>2.1158999999999999</v>
      </c>
      <c r="C300" s="265">
        <v>1.94462</v>
      </c>
      <c r="D300" s="266">
        <v>1.5547</v>
      </c>
      <c r="E300" s="266">
        <v>1.012</v>
      </c>
      <c r="F300" s="241">
        <v>1</v>
      </c>
      <c r="G300" s="242">
        <v>4</v>
      </c>
      <c r="H300" s="241">
        <v>31</v>
      </c>
      <c r="I300" s="243"/>
      <c r="J300" s="239">
        <f>+SUM(J301:J308)</f>
        <v>0.88839999999999997</v>
      </c>
      <c r="K300" s="609" t="s">
        <v>149</v>
      </c>
      <c r="L300" s="612" t="s">
        <v>252</v>
      </c>
      <c r="M300" s="618" t="s">
        <v>231</v>
      </c>
    </row>
    <row r="301" spans="1:13" ht="15.5">
      <c r="A301" s="102" t="s">
        <v>172</v>
      </c>
      <c r="B301" s="116"/>
      <c r="C301" s="85"/>
      <c r="D301" s="85"/>
      <c r="E301" s="85"/>
      <c r="F301" s="86">
        <v>0</v>
      </c>
      <c r="G301" s="87">
        <v>0</v>
      </c>
      <c r="H301" s="86">
        <v>0</v>
      </c>
      <c r="I301" s="88">
        <v>0</v>
      </c>
      <c r="J301" s="89">
        <f>+I301*H301*G301</f>
        <v>0</v>
      </c>
      <c r="K301" s="610"/>
      <c r="L301" s="613"/>
      <c r="M301" s="619"/>
    </row>
    <row r="302" spans="1:13" ht="15.5">
      <c r="A302" s="85" t="s">
        <v>173</v>
      </c>
      <c r="B302" s="116"/>
      <c r="C302" s="85"/>
      <c r="D302" s="85"/>
      <c r="E302" s="85"/>
      <c r="F302" s="86">
        <v>1</v>
      </c>
      <c r="G302" s="87">
        <v>4</v>
      </c>
      <c r="H302" s="86">
        <v>31</v>
      </c>
      <c r="I302" s="88">
        <v>2.0999999999999999E-3</v>
      </c>
      <c r="J302" s="89">
        <f t="shared" ref="J302:J308" si="18">+I302*H302*G302*F302</f>
        <v>0.26040000000000002</v>
      </c>
      <c r="K302" s="610"/>
      <c r="L302" s="613"/>
      <c r="M302" s="619"/>
    </row>
    <row r="303" spans="1:13" ht="15.5">
      <c r="A303" s="85" t="s">
        <v>174</v>
      </c>
      <c r="B303" s="116"/>
      <c r="C303" s="85"/>
      <c r="D303" s="85"/>
      <c r="E303" s="85"/>
      <c r="F303" s="86">
        <v>0</v>
      </c>
      <c r="G303" s="87">
        <v>0</v>
      </c>
      <c r="H303" s="86">
        <v>0</v>
      </c>
      <c r="I303" s="88">
        <v>0</v>
      </c>
      <c r="J303" s="89">
        <f t="shared" si="18"/>
        <v>0</v>
      </c>
      <c r="K303" s="610"/>
      <c r="L303" s="613"/>
      <c r="M303" s="619"/>
    </row>
    <row r="304" spans="1:13" ht="15.5">
      <c r="A304" s="85" t="s">
        <v>175</v>
      </c>
      <c r="B304" s="116"/>
      <c r="C304" s="85"/>
      <c r="D304" s="85"/>
      <c r="E304" s="85"/>
      <c r="F304" s="86">
        <v>1</v>
      </c>
      <c r="G304" s="87">
        <v>4</v>
      </c>
      <c r="H304" s="86">
        <v>29</v>
      </c>
      <c r="I304" s="88">
        <v>3.0000000000000001E-3</v>
      </c>
      <c r="J304" s="89">
        <f t="shared" si="18"/>
        <v>0.34799999999999998</v>
      </c>
      <c r="K304" s="610"/>
      <c r="L304" s="613"/>
      <c r="M304" s="619"/>
    </row>
    <row r="305" spans="1:13" ht="15.5">
      <c r="A305" s="85" t="s">
        <v>184</v>
      </c>
      <c r="B305" s="116"/>
      <c r="C305" s="85"/>
      <c r="D305" s="85"/>
      <c r="E305" s="85"/>
      <c r="F305" s="86">
        <v>1</v>
      </c>
      <c r="G305" s="87">
        <v>4</v>
      </c>
      <c r="H305" s="86">
        <v>1</v>
      </c>
      <c r="I305" s="88">
        <v>0.06</v>
      </c>
      <c r="J305" s="89">
        <f t="shared" si="18"/>
        <v>0.24</v>
      </c>
      <c r="K305" s="610"/>
      <c r="L305" s="613"/>
      <c r="M305" s="619"/>
    </row>
    <row r="306" spans="1:13" ht="15.5">
      <c r="A306" s="85" t="s">
        <v>176</v>
      </c>
      <c r="B306" s="116"/>
      <c r="C306" s="85"/>
      <c r="D306" s="85"/>
      <c r="E306" s="85"/>
      <c r="F306" s="86">
        <v>0</v>
      </c>
      <c r="G306" s="87">
        <v>0</v>
      </c>
      <c r="H306" s="86">
        <v>0</v>
      </c>
      <c r="I306" s="88">
        <v>0</v>
      </c>
      <c r="J306" s="89">
        <f t="shared" si="18"/>
        <v>0</v>
      </c>
      <c r="K306" s="610"/>
      <c r="L306" s="613"/>
      <c r="M306" s="619"/>
    </row>
    <row r="307" spans="1:13" ht="15.5">
      <c r="A307" s="85" t="s">
        <v>177</v>
      </c>
      <c r="B307" s="116"/>
      <c r="C307" s="85"/>
      <c r="D307" s="85"/>
      <c r="E307" s="85"/>
      <c r="F307" s="86">
        <v>0</v>
      </c>
      <c r="G307" s="87">
        <v>0</v>
      </c>
      <c r="H307" s="86">
        <v>0</v>
      </c>
      <c r="I307" s="88">
        <v>0</v>
      </c>
      <c r="J307" s="89">
        <f t="shared" si="18"/>
        <v>0</v>
      </c>
      <c r="K307" s="610"/>
      <c r="L307" s="613"/>
      <c r="M307" s="619"/>
    </row>
    <row r="308" spans="1:13" ht="72.75" customHeight="1">
      <c r="A308" s="146" t="s">
        <v>179</v>
      </c>
      <c r="B308" s="118"/>
      <c r="C308" s="104"/>
      <c r="D308" s="104"/>
      <c r="E308" s="104"/>
      <c r="F308" s="105">
        <v>1</v>
      </c>
      <c r="G308" s="106">
        <v>4</v>
      </c>
      <c r="H308" s="105">
        <v>31</v>
      </c>
      <c r="I308" s="144">
        <f>0.01/31</f>
        <v>3.2258064516129E-4</v>
      </c>
      <c r="J308" s="145">
        <f t="shared" si="18"/>
        <v>0.04</v>
      </c>
      <c r="K308" s="611"/>
      <c r="L308" s="614"/>
      <c r="M308" s="620"/>
    </row>
    <row r="309" spans="1:13" ht="58.5" customHeight="1">
      <c r="A309" s="276" t="s">
        <v>233</v>
      </c>
      <c r="B309" s="245">
        <v>0</v>
      </c>
      <c r="C309" s="245">
        <v>0</v>
      </c>
      <c r="D309" s="245">
        <v>0</v>
      </c>
      <c r="E309" s="245">
        <v>0</v>
      </c>
      <c r="F309" s="277">
        <v>1</v>
      </c>
      <c r="G309" s="278">
        <v>7</v>
      </c>
      <c r="H309" s="277">
        <v>5</v>
      </c>
      <c r="I309" s="279"/>
      <c r="J309" s="280">
        <f>+SUM(J310:J319)</f>
        <v>0.40210000000000001</v>
      </c>
      <c r="K309" s="623" t="s">
        <v>149</v>
      </c>
      <c r="L309" s="612" t="s">
        <v>249</v>
      </c>
      <c r="M309" s="627" t="s">
        <v>248</v>
      </c>
    </row>
    <row r="310" spans="1:13" ht="15.5">
      <c r="A310" s="102" t="s">
        <v>172</v>
      </c>
      <c r="B310" s="116"/>
      <c r="C310" s="85"/>
      <c r="D310" s="89"/>
      <c r="E310" s="127"/>
      <c r="F310" s="129">
        <v>1</v>
      </c>
      <c r="G310" s="130">
        <v>5</v>
      </c>
      <c r="H310" s="129">
        <v>5</v>
      </c>
      <c r="I310" s="131">
        <v>3.0999999999999999E-3</v>
      </c>
      <c r="J310" s="132">
        <f>+I310*H310*G310</f>
        <v>7.7499999999999999E-2</v>
      </c>
      <c r="K310" s="624"/>
      <c r="L310" s="613"/>
      <c r="M310" s="628"/>
    </row>
    <row r="311" spans="1:13" ht="15.5">
      <c r="A311" s="85" t="s">
        <v>173</v>
      </c>
      <c r="B311" s="116"/>
      <c r="C311" s="85"/>
      <c r="D311" s="89"/>
      <c r="E311" s="127"/>
      <c r="F311" s="129">
        <v>1</v>
      </c>
      <c r="G311" s="130">
        <v>2</v>
      </c>
      <c r="H311" s="129">
        <v>5</v>
      </c>
      <c r="I311" s="131">
        <v>2.0999999999999999E-3</v>
      </c>
      <c r="J311" s="132">
        <f t="shared" ref="J311:J319" si="19">+I311*H311*G311*F311</f>
        <v>2.1000000000000001E-2</v>
      </c>
      <c r="K311" s="624"/>
      <c r="L311" s="613"/>
      <c r="M311" s="628"/>
    </row>
    <row r="312" spans="1:13" ht="15.5">
      <c r="A312" s="85" t="s">
        <v>174</v>
      </c>
      <c r="B312" s="116"/>
      <c r="C312" s="85"/>
      <c r="D312" s="89"/>
      <c r="E312" s="127"/>
      <c r="F312" s="129">
        <v>1</v>
      </c>
      <c r="G312" s="130">
        <v>1</v>
      </c>
      <c r="H312" s="129">
        <v>4</v>
      </c>
      <c r="I312" s="131">
        <v>6.0000000000000001E-3</v>
      </c>
      <c r="J312" s="132">
        <f t="shared" si="19"/>
        <v>2.4E-2</v>
      </c>
      <c r="K312" s="624"/>
      <c r="L312" s="613"/>
      <c r="M312" s="628"/>
    </row>
    <row r="313" spans="1:13" ht="15.5">
      <c r="A313" s="85"/>
      <c r="B313" s="116"/>
      <c r="C313" s="85"/>
      <c r="D313" s="89"/>
      <c r="E313" s="127"/>
      <c r="F313" s="129">
        <v>1</v>
      </c>
      <c r="G313" s="130">
        <v>4</v>
      </c>
      <c r="H313" s="129">
        <v>4</v>
      </c>
      <c r="I313" s="131">
        <v>5.0000000000000001E-3</v>
      </c>
      <c r="J313" s="132">
        <f t="shared" si="19"/>
        <v>0.08</v>
      </c>
      <c r="K313" s="624"/>
      <c r="L313" s="613"/>
      <c r="M313" s="628"/>
    </row>
    <row r="314" spans="1:13" ht="15.5">
      <c r="A314" s="85" t="s">
        <v>175</v>
      </c>
      <c r="B314" s="116"/>
      <c r="C314" s="85"/>
      <c r="D314" s="89"/>
      <c r="E314" s="127"/>
      <c r="F314" s="129">
        <v>1</v>
      </c>
      <c r="G314" s="130">
        <v>2</v>
      </c>
      <c r="H314" s="129">
        <v>4</v>
      </c>
      <c r="I314" s="131">
        <v>5.0000000000000001E-3</v>
      </c>
      <c r="J314" s="132">
        <f t="shared" si="19"/>
        <v>0.04</v>
      </c>
      <c r="K314" s="624"/>
      <c r="L314" s="613"/>
      <c r="M314" s="628"/>
    </row>
    <row r="315" spans="1:13" ht="15.5">
      <c r="A315" s="151" t="s">
        <v>184</v>
      </c>
      <c r="B315" s="116"/>
      <c r="C315" s="85"/>
      <c r="D315" s="152"/>
      <c r="E315" s="127"/>
      <c r="F315" s="129">
        <v>1</v>
      </c>
      <c r="G315" s="130">
        <v>1</v>
      </c>
      <c r="H315" s="129">
        <v>1</v>
      </c>
      <c r="I315" s="131">
        <v>2.9000000000000001E-2</v>
      </c>
      <c r="J315" s="132">
        <f t="shared" si="19"/>
        <v>2.9000000000000001E-2</v>
      </c>
      <c r="K315" s="624"/>
      <c r="L315" s="613"/>
      <c r="M315" s="628"/>
    </row>
    <row r="316" spans="1:13" ht="15.5">
      <c r="A316" s="111"/>
      <c r="B316" s="116"/>
      <c r="C316" s="85"/>
      <c r="D316" s="85"/>
      <c r="E316" s="127"/>
      <c r="F316" s="129">
        <v>1</v>
      </c>
      <c r="G316" s="130">
        <v>6</v>
      </c>
      <c r="H316" s="129">
        <v>1</v>
      </c>
      <c r="I316" s="131">
        <v>1.4999999999999999E-2</v>
      </c>
      <c r="J316" s="132">
        <f t="shared" si="19"/>
        <v>0.09</v>
      </c>
      <c r="K316" s="624"/>
      <c r="L316" s="613"/>
      <c r="M316" s="628"/>
    </row>
    <row r="317" spans="1:13" ht="15.5">
      <c r="A317" s="85" t="s">
        <v>176</v>
      </c>
      <c r="B317" s="116"/>
      <c r="C317" s="85"/>
      <c r="D317" s="85"/>
      <c r="E317" s="127"/>
      <c r="F317" s="129">
        <v>0</v>
      </c>
      <c r="G317" s="130">
        <v>0</v>
      </c>
      <c r="H317" s="129">
        <v>0</v>
      </c>
      <c r="I317" s="131">
        <v>0</v>
      </c>
      <c r="J317" s="132">
        <f t="shared" si="19"/>
        <v>0</v>
      </c>
      <c r="K317" s="624"/>
      <c r="L317" s="613"/>
      <c r="M317" s="628"/>
    </row>
    <row r="318" spans="1:13" ht="15.5">
      <c r="A318" s="85" t="s">
        <v>177</v>
      </c>
      <c r="B318" s="116"/>
      <c r="C318" s="85"/>
      <c r="D318" s="85"/>
      <c r="E318" s="127"/>
      <c r="F318" s="129">
        <v>0</v>
      </c>
      <c r="G318" s="130">
        <v>0</v>
      </c>
      <c r="H318" s="129">
        <v>0</v>
      </c>
      <c r="I318" s="131">
        <v>0</v>
      </c>
      <c r="J318" s="132">
        <f t="shared" si="19"/>
        <v>0</v>
      </c>
      <c r="K318" s="624"/>
      <c r="L318" s="613"/>
      <c r="M318" s="628"/>
    </row>
    <row r="319" spans="1:13" ht="15.5">
      <c r="A319" s="153" t="s">
        <v>179</v>
      </c>
      <c r="B319" s="124"/>
      <c r="C319" s="94"/>
      <c r="D319" s="94"/>
      <c r="E319" s="154"/>
      <c r="F319" s="155">
        <v>1</v>
      </c>
      <c r="G319" s="156">
        <v>7</v>
      </c>
      <c r="H319" s="155">
        <v>5</v>
      </c>
      <c r="I319" s="157">
        <f>0.0058/5</f>
        <v>1.16E-3</v>
      </c>
      <c r="J319" s="158">
        <f t="shared" si="19"/>
        <v>4.0599999999999997E-2</v>
      </c>
      <c r="K319" s="624"/>
      <c r="L319" s="613"/>
      <c r="M319" s="628"/>
    </row>
    <row r="320" spans="1:13" ht="38.25" customHeight="1">
      <c r="A320" s="281" t="s">
        <v>232</v>
      </c>
      <c r="B320" s="245">
        <v>0</v>
      </c>
      <c r="C320" s="245">
        <v>0</v>
      </c>
      <c r="D320" s="249">
        <v>0.105</v>
      </c>
      <c r="E320" s="282" t="s">
        <v>208</v>
      </c>
      <c r="F320" s="246">
        <v>1</v>
      </c>
      <c r="G320" s="247">
        <v>1</v>
      </c>
      <c r="H320" s="246">
        <v>5</v>
      </c>
      <c r="I320" s="267"/>
      <c r="J320" s="239">
        <f>+SUM(J321:J329)</f>
        <v>0.13250000000000001</v>
      </c>
      <c r="K320" s="609" t="s">
        <v>250</v>
      </c>
      <c r="L320" s="612" t="s">
        <v>251</v>
      </c>
      <c r="M320" s="618" t="s">
        <v>261</v>
      </c>
    </row>
    <row r="321" spans="1:13" ht="15.5">
      <c r="A321" s="102" t="s">
        <v>172</v>
      </c>
      <c r="B321" s="116"/>
      <c r="C321" s="85"/>
      <c r="D321" s="85"/>
      <c r="E321" s="117"/>
      <c r="F321" s="86">
        <v>1</v>
      </c>
      <c r="G321" s="87">
        <v>1</v>
      </c>
      <c r="H321" s="86">
        <v>5</v>
      </c>
      <c r="I321" s="88">
        <v>3.0999999999999999E-3</v>
      </c>
      <c r="J321" s="89">
        <f>+I321*H321*G321</f>
        <v>1.55E-2</v>
      </c>
      <c r="K321" s="610"/>
      <c r="L321" s="613"/>
      <c r="M321" s="619"/>
    </row>
    <row r="322" spans="1:13" ht="15.5">
      <c r="A322" s="85" t="s">
        <v>173</v>
      </c>
      <c r="B322" s="116"/>
      <c r="C322" s="85"/>
      <c r="D322" s="85"/>
      <c r="E322" s="117"/>
      <c r="F322" s="89">
        <v>0</v>
      </c>
      <c r="G322" s="89">
        <v>0</v>
      </c>
      <c r="H322" s="89">
        <v>0</v>
      </c>
      <c r="I322" s="89">
        <v>0</v>
      </c>
      <c r="J322" s="89">
        <f t="shared" ref="J322:J329" si="20">+I322*H322*G322*F322</f>
        <v>0</v>
      </c>
      <c r="K322" s="610"/>
      <c r="L322" s="613"/>
      <c r="M322" s="619"/>
    </row>
    <row r="323" spans="1:13" ht="15.5">
      <c r="A323" s="85" t="s">
        <v>174</v>
      </c>
      <c r="B323" s="116"/>
      <c r="C323" s="85"/>
      <c r="D323" s="85"/>
      <c r="E323" s="85"/>
      <c r="F323" s="86">
        <v>1</v>
      </c>
      <c r="G323" s="87">
        <v>1</v>
      </c>
      <c r="H323" s="86">
        <v>5</v>
      </c>
      <c r="I323" s="88">
        <v>6.0000000000000001E-3</v>
      </c>
      <c r="J323" s="89">
        <f t="shared" si="20"/>
        <v>0.03</v>
      </c>
      <c r="K323" s="610"/>
      <c r="L323" s="613"/>
      <c r="M323" s="619"/>
    </row>
    <row r="324" spans="1:13" ht="15.5">
      <c r="A324" s="85" t="s">
        <v>175</v>
      </c>
      <c r="B324" s="116"/>
      <c r="C324" s="85"/>
      <c r="D324" s="85"/>
      <c r="E324" s="85"/>
      <c r="F324" s="89">
        <v>0</v>
      </c>
      <c r="G324" s="89">
        <v>0</v>
      </c>
      <c r="H324" s="89">
        <v>0</v>
      </c>
      <c r="I324" s="89">
        <v>0</v>
      </c>
      <c r="J324" s="89">
        <f t="shared" si="20"/>
        <v>0</v>
      </c>
      <c r="K324" s="610"/>
      <c r="L324" s="613"/>
      <c r="M324" s="619"/>
    </row>
    <row r="325" spans="1:13" ht="15.5">
      <c r="A325" s="85" t="s">
        <v>184</v>
      </c>
      <c r="B325" s="116"/>
      <c r="C325" s="85"/>
      <c r="D325" s="85"/>
      <c r="E325" s="85"/>
      <c r="F325" s="86">
        <v>1</v>
      </c>
      <c r="G325" s="87">
        <v>1</v>
      </c>
      <c r="H325" s="86">
        <v>1</v>
      </c>
      <c r="I325" s="88">
        <v>5.1999999999999998E-2</v>
      </c>
      <c r="J325" s="89">
        <f t="shared" si="20"/>
        <v>5.1999999999999998E-2</v>
      </c>
      <c r="K325" s="610"/>
      <c r="L325" s="613"/>
      <c r="M325" s="619"/>
    </row>
    <row r="326" spans="1:13" ht="15.5">
      <c r="A326" s="85" t="s">
        <v>176</v>
      </c>
      <c r="B326" s="116"/>
      <c r="C326" s="85"/>
      <c r="D326" s="85"/>
      <c r="E326" s="85"/>
      <c r="F326" s="89">
        <v>0</v>
      </c>
      <c r="G326" s="89">
        <v>0</v>
      </c>
      <c r="H326" s="89">
        <v>0</v>
      </c>
      <c r="I326" s="89">
        <v>0</v>
      </c>
      <c r="J326" s="89">
        <f t="shared" si="20"/>
        <v>0</v>
      </c>
      <c r="K326" s="610"/>
      <c r="L326" s="613"/>
      <c r="M326" s="619"/>
    </row>
    <row r="327" spans="1:13" ht="15.5">
      <c r="A327" s="85" t="s">
        <v>177</v>
      </c>
      <c r="B327" s="116"/>
      <c r="C327" s="85"/>
      <c r="D327" s="85"/>
      <c r="E327" s="85"/>
      <c r="F327" s="89">
        <v>0</v>
      </c>
      <c r="G327" s="89">
        <v>0</v>
      </c>
      <c r="H327" s="89">
        <v>0</v>
      </c>
      <c r="I327" s="89">
        <v>0</v>
      </c>
      <c r="J327" s="89">
        <f t="shared" si="20"/>
        <v>0</v>
      </c>
      <c r="K327" s="610"/>
      <c r="L327" s="613"/>
      <c r="M327" s="619"/>
    </row>
    <row r="328" spans="1:13" ht="15.5">
      <c r="A328" s="85" t="s">
        <v>178</v>
      </c>
      <c r="B328" s="116"/>
      <c r="C328" s="85"/>
      <c r="D328" s="85"/>
      <c r="E328" s="85"/>
      <c r="F328" s="86">
        <v>1</v>
      </c>
      <c r="G328" s="87">
        <v>1</v>
      </c>
      <c r="H328" s="86">
        <v>1</v>
      </c>
      <c r="I328" s="159">
        <v>3.5000000000000003E-2</v>
      </c>
      <c r="J328" s="160">
        <f t="shared" si="20"/>
        <v>3.5000000000000003E-2</v>
      </c>
      <c r="K328" s="610"/>
      <c r="L328" s="613"/>
      <c r="M328" s="619"/>
    </row>
    <row r="329" spans="1:13" ht="110.25" customHeight="1">
      <c r="A329" s="148" t="s">
        <v>179</v>
      </c>
      <c r="B329" s="118"/>
      <c r="C329" s="104"/>
      <c r="D329" s="104"/>
      <c r="E329" s="104"/>
      <c r="F329" s="147">
        <v>0</v>
      </c>
      <c r="G329" s="147">
        <v>0</v>
      </c>
      <c r="H329" s="147">
        <v>0</v>
      </c>
      <c r="I329" s="147">
        <v>0</v>
      </c>
      <c r="J329" s="147">
        <f t="shared" si="20"/>
        <v>0</v>
      </c>
      <c r="K329" s="611"/>
      <c r="L329" s="614"/>
      <c r="M329" s="620"/>
    </row>
    <row r="330" spans="1:13" ht="58.5" customHeight="1">
      <c r="A330" s="276" t="s">
        <v>262</v>
      </c>
      <c r="B330" s="245">
        <v>0</v>
      </c>
      <c r="C330" s="245">
        <v>0</v>
      </c>
      <c r="D330" s="245">
        <v>0</v>
      </c>
      <c r="E330" s="245">
        <v>0</v>
      </c>
      <c r="F330" s="277">
        <v>1</v>
      </c>
      <c r="G330" s="278">
        <v>1</v>
      </c>
      <c r="H330" s="277">
        <v>8</v>
      </c>
      <c r="I330" s="279"/>
      <c r="J330" s="280">
        <f>+SUM(J331:J339)</f>
        <v>0.1648</v>
      </c>
      <c r="K330" s="623" t="s">
        <v>250</v>
      </c>
      <c r="L330" s="612" t="s">
        <v>263</v>
      </c>
      <c r="M330" s="627" t="s">
        <v>264</v>
      </c>
    </row>
    <row r="331" spans="1:13" ht="15.5">
      <c r="A331" s="102" t="s">
        <v>172</v>
      </c>
      <c r="B331" s="116"/>
      <c r="C331" s="85"/>
      <c r="D331" s="89"/>
      <c r="E331" s="127"/>
      <c r="F331" s="129">
        <v>1</v>
      </c>
      <c r="G331" s="130">
        <v>1</v>
      </c>
      <c r="H331" s="129">
        <v>8</v>
      </c>
      <c r="I331" s="131">
        <v>3.0999999999999999E-3</v>
      </c>
      <c r="J331" s="132">
        <f>+I331*H331*G331</f>
        <v>2.4799999999999999E-2</v>
      </c>
      <c r="K331" s="624"/>
      <c r="L331" s="613"/>
      <c r="M331" s="628"/>
    </row>
    <row r="332" spans="1:13" ht="15.5">
      <c r="A332" s="85" t="s">
        <v>173</v>
      </c>
      <c r="B332" s="116"/>
      <c r="C332" s="85"/>
      <c r="D332" s="89"/>
      <c r="E332" s="127"/>
      <c r="F332" s="132">
        <v>0</v>
      </c>
      <c r="G332" s="132">
        <v>0</v>
      </c>
      <c r="H332" s="132">
        <v>0</v>
      </c>
      <c r="I332" s="132">
        <v>0</v>
      </c>
      <c r="J332" s="132">
        <v>0</v>
      </c>
      <c r="K332" s="624"/>
      <c r="L332" s="613"/>
      <c r="M332" s="628"/>
    </row>
    <row r="333" spans="1:13" ht="15.5">
      <c r="A333" s="85" t="s">
        <v>174</v>
      </c>
      <c r="B333" s="116"/>
      <c r="C333" s="85"/>
      <c r="D333" s="89"/>
      <c r="E333" s="127"/>
      <c r="F333" s="129">
        <v>1</v>
      </c>
      <c r="G333" s="129">
        <v>1</v>
      </c>
      <c r="H333" s="129">
        <v>8</v>
      </c>
      <c r="I333" s="132">
        <v>6.0000000000000001E-3</v>
      </c>
      <c r="J333" s="132">
        <f>+I333*H333*G333*F333</f>
        <v>4.8000000000000001E-2</v>
      </c>
      <c r="K333" s="624"/>
      <c r="L333" s="613"/>
      <c r="M333" s="628"/>
    </row>
    <row r="334" spans="1:13" ht="15.5">
      <c r="A334" s="85" t="s">
        <v>175</v>
      </c>
      <c r="B334" s="116"/>
      <c r="C334" s="85"/>
      <c r="D334" s="89"/>
      <c r="E334" s="127"/>
      <c r="F334" s="132">
        <v>0</v>
      </c>
      <c r="G334" s="132">
        <v>0</v>
      </c>
      <c r="H334" s="132">
        <v>0</v>
      </c>
      <c r="I334" s="132">
        <v>0</v>
      </c>
      <c r="J334" s="132">
        <v>0</v>
      </c>
      <c r="K334" s="624"/>
      <c r="L334" s="613"/>
      <c r="M334" s="628"/>
    </row>
    <row r="335" spans="1:13" ht="15.5">
      <c r="A335" s="151" t="s">
        <v>184</v>
      </c>
      <c r="B335" s="116"/>
      <c r="C335" s="85"/>
      <c r="D335" s="152"/>
      <c r="E335" s="127"/>
      <c r="F335" s="129">
        <v>1</v>
      </c>
      <c r="G335" s="129">
        <v>1</v>
      </c>
      <c r="H335" s="129">
        <v>1</v>
      </c>
      <c r="I335" s="132">
        <v>4.4999999999999998E-2</v>
      </c>
      <c r="J335" s="132">
        <f>+I335*H335*G335*F335</f>
        <v>4.4999999999999998E-2</v>
      </c>
      <c r="K335" s="624"/>
      <c r="L335" s="613"/>
      <c r="M335" s="628"/>
    </row>
    <row r="336" spans="1:13" ht="15.5">
      <c r="A336" s="85" t="s">
        <v>178</v>
      </c>
      <c r="B336" s="116"/>
      <c r="C336" s="85"/>
      <c r="D336" s="85"/>
      <c r="E336" s="85"/>
      <c r="F336" s="86">
        <v>1</v>
      </c>
      <c r="G336" s="87">
        <v>1</v>
      </c>
      <c r="H336" s="86">
        <v>1</v>
      </c>
      <c r="I336" s="159">
        <v>4.7E-2</v>
      </c>
      <c r="J336" s="160">
        <f>+I336*H336*G336*F336</f>
        <v>4.7E-2</v>
      </c>
      <c r="K336" s="624"/>
      <c r="L336" s="613"/>
      <c r="M336" s="628"/>
    </row>
    <row r="337" spans="1:13" ht="15.5">
      <c r="A337" s="85" t="s">
        <v>176</v>
      </c>
      <c r="B337" s="116"/>
      <c r="C337" s="85"/>
      <c r="D337" s="85"/>
      <c r="E337" s="127"/>
      <c r="F337" s="132">
        <v>0</v>
      </c>
      <c r="G337" s="132">
        <v>0</v>
      </c>
      <c r="H337" s="132">
        <v>0</v>
      </c>
      <c r="I337" s="132">
        <v>0</v>
      </c>
      <c r="J337" s="132">
        <f>+I337*H337*G337*F337</f>
        <v>0</v>
      </c>
      <c r="K337" s="624"/>
      <c r="L337" s="613"/>
      <c r="M337" s="628"/>
    </row>
    <row r="338" spans="1:13" ht="15.5">
      <c r="A338" s="85" t="s">
        <v>177</v>
      </c>
      <c r="B338" s="116"/>
      <c r="C338" s="85"/>
      <c r="D338" s="85"/>
      <c r="E338" s="127"/>
      <c r="F338" s="132">
        <v>0</v>
      </c>
      <c r="G338" s="132">
        <v>0</v>
      </c>
      <c r="H338" s="132">
        <v>0</v>
      </c>
      <c r="I338" s="132">
        <v>0</v>
      </c>
      <c r="J338" s="132">
        <f>+I338*H338*G338*F338</f>
        <v>0</v>
      </c>
      <c r="K338" s="624"/>
      <c r="L338" s="613"/>
      <c r="M338" s="628"/>
    </row>
    <row r="339" spans="1:13" ht="15.5">
      <c r="A339" s="161" t="s">
        <v>179</v>
      </c>
      <c r="B339" s="116"/>
      <c r="C339" s="85"/>
      <c r="D339" s="85"/>
      <c r="E339" s="127"/>
      <c r="F339" s="132">
        <v>0</v>
      </c>
      <c r="G339" s="132">
        <v>0</v>
      </c>
      <c r="H339" s="132">
        <v>0</v>
      </c>
      <c r="I339" s="132">
        <v>0</v>
      </c>
      <c r="J339" s="132">
        <f>+I339*H339*G339*F339</f>
        <v>0</v>
      </c>
      <c r="K339" s="624"/>
      <c r="L339" s="613"/>
      <c r="M339" s="628"/>
    </row>
    <row r="340" spans="1:13" ht="69.75" customHeight="1">
      <c r="A340" s="153"/>
      <c r="B340" s="124"/>
      <c r="C340" s="94"/>
      <c r="D340" s="94"/>
      <c r="E340" s="154"/>
      <c r="F340" s="155"/>
      <c r="G340" s="155"/>
      <c r="H340" s="155"/>
      <c r="I340" s="158"/>
      <c r="J340" s="158"/>
      <c r="K340" s="632"/>
      <c r="L340" s="614"/>
      <c r="M340" s="633"/>
    </row>
    <row r="341" spans="1:13" ht="58.5" customHeight="1">
      <c r="A341" s="276" t="s">
        <v>266</v>
      </c>
      <c r="B341" s="283">
        <v>0</v>
      </c>
      <c r="C341" s="283">
        <v>0</v>
      </c>
      <c r="D341" s="251">
        <v>0.13689999999999999</v>
      </c>
      <c r="E341" s="284" t="s">
        <v>208</v>
      </c>
      <c r="F341" s="277">
        <v>1</v>
      </c>
      <c r="G341" s="278">
        <v>4</v>
      </c>
      <c r="H341" s="277">
        <v>4</v>
      </c>
      <c r="I341" s="279"/>
      <c r="J341" s="280">
        <f>+SUM(J342:J351)</f>
        <v>0.2487</v>
      </c>
      <c r="K341" s="623" t="s">
        <v>149</v>
      </c>
      <c r="L341" s="612" t="s">
        <v>265</v>
      </c>
      <c r="M341" s="627" t="s">
        <v>267</v>
      </c>
    </row>
    <row r="342" spans="1:13" ht="15.5">
      <c r="A342" s="102" t="s">
        <v>172</v>
      </c>
      <c r="B342" s="116"/>
      <c r="C342" s="85"/>
      <c r="D342" s="89"/>
      <c r="E342" s="127"/>
      <c r="F342" s="129">
        <v>1</v>
      </c>
      <c r="G342" s="130">
        <v>4</v>
      </c>
      <c r="H342" s="129">
        <v>4</v>
      </c>
      <c r="I342" s="131">
        <v>3.0999999999999999E-3</v>
      </c>
      <c r="J342" s="132">
        <f>+I342*H342*G342</f>
        <v>4.9599999999999998E-2</v>
      </c>
      <c r="K342" s="624"/>
      <c r="L342" s="613"/>
      <c r="M342" s="628"/>
    </row>
    <row r="343" spans="1:13" ht="15.5">
      <c r="A343" s="85" t="s">
        <v>173</v>
      </c>
      <c r="B343" s="116"/>
      <c r="C343" s="85"/>
      <c r="D343" s="89"/>
      <c r="E343" s="127"/>
      <c r="F343" s="132">
        <v>0</v>
      </c>
      <c r="G343" s="132">
        <v>0</v>
      </c>
      <c r="H343" s="132">
        <v>0</v>
      </c>
      <c r="I343" s="132">
        <v>0</v>
      </c>
      <c r="J343" s="132">
        <v>0</v>
      </c>
      <c r="K343" s="624"/>
      <c r="L343" s="613"/>
      <c r="M343" s="628"/>
    </row>
    <row r="344" spans="1:13" ht="15.5">
      <c r="A344" s="151" t="s">
        <v>174</v>
      </c>
      <c r="B344" s="116"/>
      <c r="C344" s="85"/>
      <c r="D344" s="89"/>
      <c r="E344" s="127"/>
      <c r="F344" s="129">
        <v>1</v>
      </c>
      <c r="G344" s="130">
        <v>1</v>
      </c>
      <c r="H344" s="129">
        <v>3</v>
      </c>
      <c r="I344" s="131">
        <v>6.0000000000000001E-3</v>
      </c>
      <c r="J344" s="132">
        <f>+I344*H344*G344*F344</f>
        <v>1.7999999999999999E-2</v>
      </c>
      <c r="K344" s="624"/>
      <c r="L344" s="613"/>
      <c r="M344" s="628"/>
    </row>
    <row r="345" spans="1:13" ht="15.5">
      <c r="A345" s="141"/>
      <c r="B345" s="116"/>
      <c r="C345" s="85"/>
      <c r="D345" s="89"/>
      <c r="E345" s="127"/>
      <c r="F345" s="129">
        <v>1</v>
      </c>
      <c r="G345" s="130">
        <v>3</v>
      </c>
      <c r="H345" s="129">
        <v>3</v>
      </c>
      <c r="I345" s="131">
        <v>4.0000000000000001E-3</v>
      </c>
      <c r="J345" s="132">
        <f>+I345*H345*G345*F345</f>
        <v>3.5999999999999997E-2</v>
      </c>
      <c r="K345" s="624"/>
      <c r="L345" s="613"/>
      <c r="M345" s="628"/>
    </row>
    <row r="346" spans="1:13" ht="15.5">
      <c r="A346" s="85" t="s">
        <v>175</v>
      </c>
      <c r="B346" s="116"/>
      <c r="C346" s="85"/>
      <c r="D346" s="89"/>
      <c r="E346" s="127"/>
      <c r="F346" s="132">
        <v>0</v>
      </c>
      <c r="G346" s="132">
        <v>0</v>
      </c>
      <c r="H346" s="132">
        <v>0</v>
      </c>
      <c r="I346" s="132">
        <v>0</v>
      </c>
      <c r="J346" s="132">
        <v>0</v>
      </c>
      <c r="K346" s="624"/>
      <c r="L346" s="613"/>
      <c r="M346" s="628"/>
    </row>
    <row r="347" spans="1:13" ht="15.5">
      <c r="A347" s="151" t="s">
        <v>184</v>
      </c>
      <c r="B347" s="116"/>
      <c r="C347" s="85"/>
      <c r="D347" s="152"/>
      <c r="E347" s="127"/>
      <c r="F347" s="129">
        <v>1</v>
      </c>
      <c r="G347" s="130">
        <v>1</v>
      </c>
      <c r="H347" s="129">
        <v>1</v>
      </c>
      <c r="I347" s="131">
        <v>4.9500000000000002E-2</v>
      </c>
      <c r="J347" s="132">
        <f>+I347*H347*G347*F347</f>
        <v>4.9500000000000002E-2</v>
      </c>
      <c r="K347" s="624"/>
      <c r="L347" s="613"/>
      <c r="M347" s="628"/>
    </row>
    <row r="348" spans="1:13" ht="15.5">
      <c r="A348" s="111"/>
      <c r="B348" s="116"/>
      <c r="C348" s="85"/>
      <c r="D348" s="85"/>
      <c r="E348" s="127"/>
      <c r="F348" s="129">
        <v>1</v>
      </c>
      <c r="G348" s="130">
        <v>3</v>
      </c>
      <c r="H348" s="129">
        <v>1</v>
      </c>
      <c r="I348" s="131">
        <v>2.52E-2</v>
      </c>
      <c r="J348" s="132">
        <f>+I348*H348*G348*F348</f>
        <v>7.5600000000000001E-2</v>
      </c>
      <c r="K348" s="624"/>
      <c r="L348" s="613"/>
      <c r="M348" s="628"/>
    </row>
    <row r="349" spans="1:13" ht="15.5">
      <c r="A349" s="85" t="s">
        <v>176</v>
      </c>
      <c r="B349" s="116"/>
      <c r="C349" s="85"/>
      <c r="D349" s="85"/>
      <c r="E349" s="127"/>
      <c r="F349" s="129">
        <v>0</v>
      </c>
      <c r="G349" s="130">
        <v>0</v>
      </c>
      <c r="H349" s="129">
        <v>0</v>
      </c>
      <c r="I349" s="131">
        <v>0</v>
      </c>
      <c r="J349" s="132">
        <f>+I349*H349*G349*F349</f>
        <v>0</v>
      </c>
      <c r="K349" s="624"/>
      <c r="L349" s="613"/>
      <c r="M349" s="628"/>
    </row>
    <row r="350" spans="1:13" ht="15.5">
      <c r="A350" s="85" t="s">
        <v>177</v>
      </c>
      <c r="B350" s="116"/>
      <c r="C350" s="85"/>
      <c r="D350" s="85"/>
      <c r="E350" s="127"/>
      <c r="F350" s="129">
        <v>0</v>
      </c>
      <c r="G350" s="130">
        <v>0</v>
      </c>
      <c r="H350" s="129">
        <v>0</v>
      </c>
      <c r="I350" s="131">
        <v>0</v>
      </c>
      <c r="J350" s="132">
        <f>+I350*H350*G350*F350</f>
        <v>0</v>
      </c>
      <c r="K350" s="624"/>
      <c r="L350" s="613"/>
      <c r="M350" s="628"/>
    </row>
    <row r="351" spans="1:13" ht="15.5">
      <c r="A351" s="161" t="s">
        <v>179</v>
      </c>
      <c r="B351" s="124"/>
      <c r="C351" s="94"/>
      <c r="D351" s="85"/>
      <c r="E351" s="127"/>
      <c r="F351" s="163">
        <v>1</v>
      </c>
      <c r="G351" s="164">
        <v>4</v>
      </c>
      <c r="H351" s="163">
        <v>4</v>
      </c>
      <c r="I351" s="165">
        <f>0.005/4</f>
        <v>1.25E-3</v>
      </c>
      <c r="J351" s="166">
        <f>+I351*H351*G351*F351</f>
        <v>0.02</v>
      </c>
      <c r="K351" s="624"/>
      <c r="L351" s="613"/>
      <c r="M351" s="628"/>
    </row>
    <row r="352" spans="1:13" ht="58.5" customHeight="1">
      <c r="A352" s="276" t="s">
        <v>268</v>
      </c>
      <c r="B352" s="285">
        <v>0</v>
      </c>
      <c r="C352" s="285">
        <v>0</v>
      </c>
      <c r="D352" s="260">
        <v>0.13689999999999999</v>
      </c>
      <c r="E352" s="284" t="s">
        <v>208</v>
      </c>
      <c r="F352" s="277">
        <v>1</v>
      </c>
      <c r="G352" s="278">
        <v>5</v>
      </c>
      <c r="H352" s="277">
        <v>4</v>
      </c>
      <c r="I352" s="279"/>
      <c r="J352" s="280">
        <f>+SUM(J353:J363)</f>
        <v>0.2752</v>
      </c>
      <c r="K352" s="623" t="s">
        <v>149</v>
      </c>
      <c r="L352" s="612" t="s">
        <v>265</v>
      </c>
      <c r="M352" s="627" t="s">
        <v>267</v>
      </c>
    </row>
    <row r="353" spans="1:13" ht="15.5">
      <c r="A353" s="102" t="s">
        <v>172</v>
      </c>
      <c r="B353" s="116"/>
      <c r="C353" s="85"/>
      <c r="D353" s="89"/>
      <c r="E353" s="127"/>
      <c r="F353" s="129">
        <v>1</v>
      </c>
      <c r="G353" s="130">
        <v>4</v>
      </c>
      <c r="H353" s="129">
        <v>4</v>
      </c>
      <c r="I353" s="131">
        <v>3.0999999999999999E-3</v>
      </c>
      <c r="J353" s="132">
        <f>+I353*H353*G353</f>
        <v>4.9599999999999998E-2</v>
      </c>
      <c r="K353" s="624"/>
      <c r="L353" s="613"/>
      <c r="M353" s="628"/>
    </row>
    <row r="354" spans="1:13" ht="15.5">
      <c r="A354" s="85" t="s">
        <v>173</v>
      </c>
      <c r="B354" s="116"/>
      <c r="C354" s="85"/>
      <c r="D354" s="89"/>
      <c r="E354" s="127"/>
      <c r="F354" s="129">
        <v>1</v>
      </c>
      <c r="G354" s="130">
        <v>1</v>
      </c>
      <c r="H354" s="129">
        <v>4</v>
      </c>
      <c r="I354" s="131">
        <v>2.0999999999999999E-3</v>
      </c>
      <c r="J354" s="132">
        <f>+I354*H354*G354</f>
        <v>8.3999999999999995E-3</v>
      </c>
      <c r="K354" s="624"/>
      <c r="L354" s="613"/>
      <c r="M354" s="628"/>
    </row>
    <row r="355" spans="1:13" ht="15.5">
      <c r="A355" s="151" t="s">
        <v>174</v>
      </c>
      <c r="B355" s="116"/>
      <c r="C355" s="85"/>
      <c r="D355" s="89"/>
      <c r="E355" s="127"/>
      <c r="F355" s="129">
        <v>1</v>
      </c>
      <c r="G355" s="130">
        <v>1</v>
      </c>
      <c r="H355" s="129">
        <v>3</v>
      </c>
      <c r="I355" s="131">
        <v>6.0000000000000001E-3</v>
      </c>
      <c r="J355" s="132">
        <f t="shared" ref="J355:J363" si="21">+I355*H355*G355*F355</f>
        <v>1.7999999999999999E-2</v>
      </c>
      <c r="K355" s="624"/>
      <c r="L355" s="613"/>
      <c r="M355" s="628"/>
    </row>
    <row r="356" spans="1:13" ht="15.5">
      <c r="A356" s="141"/>
      <c r="B356" s="116"/>
      <c r="C356" s="85"/>
      <c r="D356" s="89"/>
      <c r="E356" s="127"/>
      <c r="F356" s="129">
        <v>1</v>
      </c>
      <c r="G356" s="130">
        <v>3</v>
      </c>
      <c r="H356" s="129">
        <v>3</v>
      </c>
      <c r="I356" s="131">
        <v>4.0000000000000001E-3</v>
      </c>
      <c r="J356" s="132">
        <f t="shared" si="21"/>
        <v>3.5999999999999997E-2</v>
      </c>
      <c r="K356" s="624"/>
      <c r="L356" s="613"/>
      <c r="M356" s="628"/>
    </row>
    <row r="357" spans="1:13" ht="15.5">
      <c r="A357" s="85" t="s">
        <v>175</v>
      </c>
      <c r="B357" s="116"/>
      <c r="C357" s="85"/>
      <c r="D357" s="89"/>
      <c r="E357" s="127"/>
      <c r="F357" s="129">
        <v>1</v>
      </c>
      <c r="G357" s="130">
        <v>1</v>
      </c>
      <c r="H357" s="129">
        <v>3</v>
      </c>
      <c r="I357" s="131">
        <v>4.0000000000000001E-3</v>
      </c>
      <c r="J357" s="132">
        <f t="shared" si="21"/>
        <v>1.2E-2</v>
      </c>
      <c r="K357" s="624"/>
      <c r="L357" s="613"/>
      <c r="M357" s="628"/>
    </row>
    <row r="358" spans="1:13" ht="15.5">
      <c r="A358" s="151" t="s">
        <v>184</v>
      </c>
      <c r="B358" s="116"/>
      <c r="C358" s="85"/>
      <c r="D358" s="152"/>
      <c r="E358" s="127"/>
      <c r="F358" s="129">
        <v>1</v>
      </c>
      <c r="G358" s="130">
        <v>1</v>
      </c>
      <c r="H358" s="129">
        <v>1</v>
      </c>
      <c r="I358" s="131">
        <v>2.4199999999999999E-2</v>
      </c>
      <c r="J358" s="132">
        <f t="shared" si="21"/>
        <v>2.4199999999999999E-2</v>
      </c>
      <c r="K358" s="624"/>
      <c r="L358" s="613"/>
      <c r="M358" s="628"/>
    </row>
    <row r="359" spans="1:13" ht="15.5">
      <c r="A359" s="111"/>
      <c r="B359" s="116"/>
      <c r="C359" s="85"/>
      <c r="D359" s="85"/>
      <c r="E359" s="127"/>
      <c r="F359" s="129">
        <v>1</v>
      </c>
      <c r="G359" s="130">
        <v>4</v>
      </c>
      <c r="H359" s="129">
        <v>1</v>
      </c>
      <c r="I359" s="131">
        <v>1.4200000000000001E-2</v>
      </c>
      <c r="J359" s="132">
        <f t="shared" si="21"/>
        <v>5.6800000000000003E-2</v>
      </c>
      <c r="K359" s="624"/>
      <c r="L359" s="613"/>
      <c r="M359" s="628"/>
    </row>
    <row r="360" spans="1:13" ht="15.5">
      <c r="A360" s="85" t="s">
        <v>176</v>
      </c>
      <c r="B360" s="116"/>
      <c r="C360" s="85"/>
      <c r="D360" s="85"/>
      <c r="E360" s="127"/>
      <c r="F360" s="132">
        <v>0</v>
      </c>
      <c r="G360" s="132">
        <v>0</v>
      </c>
      <c r="H360" s="132">
        <v>0</v>
      </c>
      <c r="I360" s="131">
        <v>0</v>
      </c>
      <c r="J360" s="132">
        <f t="shared" si="21"/>
        <v>0</v>
      </c>
      <c r="K360" s="624"/>
      <c r="L360" s="613"/>
      <c r="M360" s="628"/>
    </row>
    <row r="361" spans="1:13" ht="15.5">
      <c r="A361" s="85" t="s">
        <v>177</v>
      </c>
      <c r="B361" s="116"/>
      <c r="C361" s="85"/>
      <c r="D361" s="85"/>
      <c r="E361" s="127"/>
      <c r="F361" s="132">
        <v>0</v>
      </c>
      <c r="G361" s="132">
        <v>0</v>
      </c>
      <c r="H361" s="132">
        <v>0</v>
      </c>
      <c r="I361" s="131">
        <v>0</v>
      </c>
      <c r="J361" s="132">
        <f t="shared" si="21"/>
        <v>0</v>
      </c>
      <c r="K361" s="624"/>
      <c r="L361" s="613"/>
      <c r="M361" s="628"/>
    </row>
    <row r="362" spans="1:13" ht="15.5">
      <c r="A362" s="167" t="s">
        <v>179</v>
      </c>
      <c r="B362" s="116"/>
      <c r="C362" s="85"/>
      <c r="D362" s="85"/>
      <c r="E362" s="128"/>
      <c r="F362" s="129">
        <v>1</v>
      </c>
      <c r="G362" s="130">
        <v>1</v>
      </c>
      <c r="H362" s="129">
        <v>4</v>
      </c>
      <c r="I362" s="168">
        <f>0.019/4</f>
        <v>4.7499999999999999E-3</v>
      </c>
      <c r="J362" s="162">
        <f t="shared" si="21"/>
        <v>1.9E-2</v>
      </c>
      <c r="K362" s="624"/>
      <c r="L362" s="613"/>
      <c r="M362" s="628"/>
    </row>
    <row r="363" spans="1:13" ht="15.5">
      <c r="A363" s="146"/>
      <c r="B363" s="124"/>
      <c r="C363" s="94"/>
      <c r="D363" s="94"/>
      <c r="E363" s="154"/>
      <c r="F363" s="163">
        <v>1</v>
      </c>
      <c r="G363" s="164">
        <v>4</v>
      </c>
      <c r="H363" s="163">
        <v>4</v>
      </c>
      <c r="I363" s="169">
        <f>0.0128/4</f>
        <v>3.2000000000000002E-3</v>
      </c>
      <c r="J363" s="170">
        <f t="shared" si="21"/>
        <v>5.1200000000000002E-2</v>
      </c>
      <c r="K363" s="624"/>
      <c r="L363" s="613"/>
      <c r="M363" s="628"/>
    </row>
    <row r="364" spans="1:13" ht="73.5" customHeight="1">
      <c r="A364" s="276" t="s">
        <v>269</v>
      </c>
      <c r="B364" s="253">
        <v>0</v>
      </c>
      <c r="C364" s="253">
        <v>0</v>
      </c>
      <c r="D364" s="253">
        <v>0</v>
      </c>
      <c r="E364" s="253">
        <v>0</v>
      </c>
      <c r="F364" s="277">
        <v>1</v>
      </c>
      <c r="G364" s="278">
        <v>5</v>
      </c>
      <c r="H364" s="277">
        <v>9</v>
      </c>
      <c r="I364" s="279"/>
      <c r="J364" s="286">
        <f>+SUM(J365:J375)</f>
        <v>0.7359</v>
      </c>
      <c r="K364" s="623" t="s">
        <v>149</v>
      </c>
      <c r="L364" s="612" t="s">
        <v>270</v>
      </c>
      <c r="M364" s="625" t="s">
        <v>271</v>
      </c>
    </row>
    <row r="365" spans="1:13" ht="15.5">
      <c r="A365" s="102" t="s">
        <v>172</v>
      </c>
      <c r="B365" s="116"/>
      <c r="C365" s="85"/>
      <c r="D365" s="89"/>
      <c r="E365" s="127"/>
      <c r="F365" s="129">
        <v>1</v>
      </c>
      <c r="G365" s="130">
        <v>4</v>
      </c>
      <c r="H365" s="129">
        <v>9</v>
      </c>
      <c r="I365" s="131">
        <v>3.0999999999999999E-3</v>
      </c>
      <c r="J365" s="132">
        <f>+I365*H365*G365</f>
        <v>0.1116</v>
      </c>
      <c r="K365" s="624"/>
      <c r="L365" s="613"/>
      <c r="M365" s="626"/>
    </row>
    <row r="366" spans="1:13" ht="15.5">
      <c r="A366" s="85" t="s">
        <v>173</v>
      </c>
      <c r="B366" s="116"/>
      <c r="C366" s="85"/>
      <c r="D366" s="89"/>
      <c r="E366" s="127"/>
      <c r="F366" s="129">
        <v>1</v>
      </c>
      <c r="G366" s="130">
        <v>1</v>
      </c>
      <c r="H366" s="129">
        <v>9</v>
      </c>
      <c r="I366" s="131">
        <v>2.0999999999999999E-3</v>
      </c>
      <c r="J366" s="132">
        <f>+I366*H366*G366</f>
        <v>1.89E-2</v>
      </c>
      <c r="K366" s="624"/>
      <c r="L366" s="613"/>
      <c r="M366" s="626"/>
    </row>
    <row r="367" spans="1:13" ht="15.5">
      <c r="A367" s="151" t="s">
        <v>174</v>
      </c>
      <c r="B367" s="116"/>
      <c r="C367" s="85"/>
      <c r="D367" s="89"/>
      <c r="E367" s="127"/>
      <c r="F367" s="129">
        <v>1</v>
      </c>
      <c r="G367" s="130">
        <v>1</v>
      </c>
      <c r="H367" s="129">
        <v>8</v>
      </c>
      <c r="I367" s="131">
        <v>8.0000000000000002E-3</v>
      </c>
      <c r="J367" s="132">
        <f t="shared" ref="J367:J374" si="22">+I367*H367*G367*F367</f>
        <v>6.4000000000000001E-2</v>
      </c>
      <c r="K367" s="624"/>
      <c r="L367" s="613"/>
      <c r="M367" s="626"/>
    </row>
    <row r="368" spans="1:13" ht="15.5">
      <c r="A368" s="141"/>
      <c r="B368" s="116"/>
      <c r="C368" s="85"/>
      <c r="D368" s="89"/>
      <c r="E368" s="127"/>
      <c r="F368" s="129">
        <v>1</v>
      </c>
      <c r="G368" s="130">
        <v>3</v>
      </c>
      <c r="H368" s="129">
        <v>8</v>
      </c>
      <c r="I368" s="131">
        <v>4.0000000000000001E-3</v>
      </c>
      <c r="J368" s="132">
        <f t="shared" si="22"/>
        <v>9.6000000000000002E-2</v>
      </c>
      <c r="K368" s="624"/>
      <c r="L368" s="613"/>
      <c r="M368" s="626"/>
    </row>
    <row r="369" spans="1:13" ht="15.5">
      <c r="A369" s="85" t="s">
        <v>175</v>
      </c>
      <c r="B369" s="116"/>
      <c r="C369" s="85"/>
      <c r="D369" s="89"/>
      <c r="E369" s="127"/>
      <c r="F369" s="129">
        <v>1</v>
      </c>
      <c r="G369" s="130">
        <v>1</v>
      </c>
      <c r="H369" s="129">
        <v>8</v>
      </c>
      <c r="I369" s="131">
        <v>4.0000000000000001E-3</v>
      </c>
      <c r="J369" s="132">
        <f t="shared" si="22"/>
        <v>3.2000000000000001E-2</v>
      </c>
      <c r="K369" s="624"/>
      <c r="L369" s="613"/>
      <c r="M369" s="626"/>
    </row>
    <row r="370" spans="1:13" ht="15.5">
      <c r="A370" s="151" t="s">
        <v>184</v>
      </c>
      <c r="B370" s="116"/>
      <c r="C370" s="85"/>
      <c r="D370" s="152"/>
      <c r="E370" s="127"/>
      <c r="F370" s="129">
        <v>1</v>
      </c>
      <c r="G370" s="130">
        <v>1</v>
      </c>
      <c r="H370" s="129">
        <v>1</v>
      </c>
      <c r="I370" s="131">
        <v>0.1244</v>
      </c>
      <c r="J370" s="132">
        <f t="shared" si="22"/>
        <v>0.1244</v>
      </c>
      <c r="K370" s="624"/>
      <c r="L370" s="613"/>
      <c r="M370" s="626"/>
    </row>
    <row r="371" spans="1:13" ht="15.5">
      <c r="A371" s="111"/>
      <c r="B371" s="116"/>
      <c r="C371" s="85"/>
      <c r="D371" s="85"/>
      <c r="E371" s="127"/>
      <c r="F371" s="129">
        <v>1</v>
      </c>
      <c r="G371" s="130">
        <v>4</v>
      </c>
      <c r="H371" s="129">
        <v>1</v>
      </c>
      <c r="I371" s="131">
        <v>6.0999999999999999E-2</v>
      </c>
      <c r="J371" s="132">
        <f t="shared" si="22"/>
        <v>0.24399999999999999</v>
      </c>
      <c r="K371" s="624"/>
      <c r="L371" s="613"/>
      <c r="M371" s="626"/>
    </row>
    <row r="372" spans="1:13" ht="15.5">
      <c r="A372" s="85" t="s">
        <v>176</v>
      </c>
      <c r="B372" s="116"/>
      <c r="C372" s="85"/>
      <c r="D372" s="85"/>
      <c r="E372" s="127"/>
      <c r="F372" s="132">
        <v>0</v>
      </c>
      <c r="G372" s="132">
        <v>0</v>
      </c>
      <c r="H372" s="132">
        <v>0</v>
      </c>
      <c r="I372" s="131">
        <v>0</v>
      </c>
      <c r="J372" s="132">
        <f t="shared" si="22"/>
        <v>0</v>
      </c>
      <c r="K372" s="624"/>
      <c r="L372" s="613"/>
      <c r="M372" s="626"/>
    </row>
    <row r="373" spans="1:13" ht="15.5">
      <c r="A373" s="85" t="s">
        <v>177</v>
      </c>
      <c r="B373" s="116"/>
      <c r="C373" s="85"/>
      <c r="D373" s="85"/>
      <c r="E373" s="127"/>
      <c r="F373" s="132">
        <v>0</v>
      </c>
      <c r="G373" s="132">
        <v>0</v>
      </c>
      <c r="H373" s="132">
        <v>0</v>
      </c>
      <c r="I373" s="131">
        <v>0</v>
      </c>
      <c r="J373" s="132">
        <f t="shared" si="22"/>
        <v>0</v>
      </c>
      <c r="K373" s="624"/>
      <c r="L373" s="613"/>
      <c r="M373" s="626"/>
    </row>
    <row r="374" spans="1:13" ht="15.5">
      <c r="A374" s="167" t="s">
        <v>179</v>
      </c>
      <c r="B374" s="171"/>
      <c r="C374" s="151"/>
      <c r="D374" s="151"/>
      <c r="E374" s="172"/>
      <c r="F374" s="173">
        <v>1</v>
      </c>
      <c r="G374" s="174">
        <v>5</v>
      </c>
      <c r="H374" s="173">
        <v>9</v>
      </c>
      <c r="I374" s="175">
        <v>1E-3</v>
      </c>
      <c r="J374" s="176">
        <f t="shared" si="22"/>
        <v>4.4999999999999998E-2</v>
      </c>
      <c r="K374" s="624"/>
      <c r="L374" s="613"/>
      <c r="M374" s="626"/>
    </row>
    <row r="375" spans="1:13" ht="51.75" customHeight="1">
      <c r="A375" s="146"/>
      <c r="B375" s="118"/>
      <c r="C375" s="104"/>
      <c r="D375" s="104"/>
      <c r="E375" s="177"/>
      <c r="F375" s="178"/>
      <c r="G375" s="179"/>
      <c r="H375" s="178"/>
      <c r="I375" s="180"/>
      <c r="J375" s="181"/>
      <c r="K375" s="624"/>
      <c r="L375" s="613"/>
      <c r="M375" s="626"/>
    </row>
    <row r="376" spans="1:13" ht="38.25" customHeight="1">
      <c r="A376" s="281" t="s">
        <v>273</v>
      </c>
      <c r="B376" s="245">
        <v>0</v>
      </c>
      <c r="C376" s="245">
        <v>0</v>
      </c>
      <c r="D376" s="245">
        <v>0</v>
      </c>
      <c r="E376" s="245">
        <v>0</v>
      </c>
      <c r="F376" s="277">
        <v>1</v>
      </c>
      <c r="G376" s="278">
        <v>1</v>
      </c>
      <c r="H376" s="277">
        <v>20</v>
      </c>
      <c r="I376" s="279"/>
      <c r="J376" s="280">
        <f>+SUM(J377:J384)</f>
        <v>0.18729999999999999</v>
      </c>
      <c r="K376" s="623" t="s">
        <v>274</v>
      </c>
      <c r="L376" s="612" t="s">
        <v>272</v>
      </c>
      <c r="M376" s="625" t="s">
        <v>275</v>
      </c>
    </row>
    <row r="377" spans="1:13" ht="15.5">
      <c r="A377" s="102" t="s">
        <v>172</v>
      </c>
      <c r="B377" s="116"/>
      <c r="C377" s="85"/>
      <c r="D377" s="89"/>
      <c r="E377" s="127"/>
      <c r="F377" s="132">
        <v>0</v>
      </c>
      <c r="G377" s="132">
        <v>0</v>
      </c>
      <c r="H377" s="132">
        <v>0</v>
      </c>
      <c r="I377" s="131">
        <v>0</v>
      </c>
      <c r="J377" s="132">
        <f>+I377*H377*G377*F377</f>
        <v>0</v>
      </c>
      <c r="K377" s="624"/>
      <c r="L377" s="613"/>
      <c r="M377" s="626"/>
    </row>
    <row r="378" spans="1:13" ht="15.5">
      <c r="A378" s="85" t="s">
        <v>173</v>
      </c>
      <c r="B378" s="116"/>
      <c r="C378" s="85"/>
      <c r="D378" s="89"/>
      <c r="E378" s="127"/>
      <c r="F378" s="129">
        <v>1</v>
      </c>
      <c r="G378" s="130">
        <v>1</v>
      </c>
      <c r="H378" s="129">
        <v>20</v>
      </c>
      <c r="I378" s="131">
        <v>2.0999999999999999E-3</v>
      </c>
      <c r="J378" s="132">
        <f>+I378*H378*G378</f>
        <v>4.2000000000000003E-2</v>
      </c>
      <c r="K378" s="624"/>
      <c r="L378" s="613"/>
      <c r="M378" s="626"/>
    </row>
    <row r="379" spans="1:13" ht="15.5">
      <c r="A379" s="151" t="s">
        <v>174</v>
      </c>
      <c r="B379" s="116"/>
      <c r="C379" s="85"/>
      <c r="D379" s="89"/>
      <c r="E379" s="127"/>
      <c r="F379" s="132">
        <v>0</v>
      </c>
      <c r="G379" s="132">
        <v>0</v>
      </c>
      <c r="H379" s="132">
        <v>0</v>
      </c>
      <c r="I379" s="131">
        <v>0</v>
      </c>
      <c r="J379" s="132">
        <f t="shared" ref="J379:J384" si="23">+I379*H379*G379*F379</f>
        <v>0</v>
      </c>
      <c r="K379" s="624"/>
      <c r="L379" s="613"/>
      <c r="M379" s="626"/>
    </row>
    <row r="380" spans="1:13" ht="15.5">
      <c r="A380" s="85" t="s">
        <v>175</v>
      </c>
      <c r="B380" s="116"/>
      <c r="C380" s="85"/>
      <c r="D380" s="89"/>
      <c r="E380" s="127"/>
      <c r="F380" s="129">
        <v>1</v>
      </c>
      <c r="G380" s="130">
        <v>1</v>
      </c>
      <c r="H380" s="129">
        <v>20</v>
      </c>
      <c r="I380" s="131">
        <v>3.5000000000000001E-3</v>
      </c>
      <c r="J380" s="132">
        <f t="shared" si="23"/>
        <v>7.0000000000000007E-2</v>
      </c>
      <c r="K380" s="624"/>
      <c r="L380" s="613"/>
      <c r="M380" s="626"/>
    </row>
    <row r="381" spans="1:13" ht="15.5">
      <c r="A381" s="151" t="s">
        <v>184</v>
      </c>
      <c r="B381" s="116"/>
      <c r="C381" s="85"/>
      <c r="D381" s="152"/>
      <c r="E381" s="127"/>
      <c r="F381" s="129">
        <v>1</v>
      </c>
      <c r="G381" s="130">
        <v>1</v>
      </c>
      <c r="H381" s="129">
        <v>1</v>
      </c>
      <c r="I381" s="131">
        <v>0.06</v>
      </c>
      <c r="J381" s="132">
        <f t="shared" si="23"/>
        <v>0.06</v>
      </c>
      <c r="K381" s="624"/>
      <c r="L381" s="613"/>
      <c r="M381" s="626"/>
    </row>
    <row r="382" spans="1:13" ht="15.5">
      <c r="A382" s="85" t="s">
        <v>176</v>
      </c>
      <c r="B382" s="116"/>
      <c r="C382" s="85"/>
      <c r="D382" s="85"/>
      <c r="E382" s="127"/>
      <c r="F382" s="132">
        <v>0</v>
      </c>
      <c r="G382" s="132">
        <v>0</v>
      </c>
      <c r="H382" s="132">
        <v>0</v>
      </c>
      <c r="I382" s="131">
        <v>0</v>
      </c>
      <c r="J382" s="132">
        <f t="shared" si="23"/>
        <v>0</v>
      </c>
      <c r="K382" s="624"/>
      <c r="L382" s="613"/>
      <c r="M382" s="626"/>
    </row>
    <row r="383" spans="1:13" ht="15.5">
      <c r="A383" s="85" t="s">
        <v>177</v>
      </c>
      <c r="B383" s="116"/>
      <c r="C383" s="85"/>
      <c r="D383" s="85"/>
      <c r="E383" s="127"/>
      <c r="F383" s="132">
        <v>0</v>
      </c>
      <c r="G383" s="132">
        <v>0</v>
      </c>
      <c r="H383" s="132">
        <v>0</v>
      </c>
      <c r="I383" s="131">
        <v>0</v>
      </c>
      <c r="J383" s="132">
        <f t="shared" si="23"/>
        <v>0</v>
      </c>
      <c r="K383" s="624"/>
      <c r="L383" s="613"/>
      <c r="M383" s="626"/>
    </row>
    <row r="384" spans="1:13" ht="34.5" customHeight="1">
      <c r="A384" s="153" t="s">
        <v>179</v>
      </c>
      <c r="B384" s="124"/>
      <c r="C384" s="94"/>
      <c r="D384" s="94"/>
      <c r="E384" s="219"/>
      <c r="F384" s="163">
        <v>1</v>
      </c>
      <c r="G384" s="164">
        <v>1</v>
      </c>
      <c r="H384" s="163">
        <v>20</v>
      </c>
      <c r="I384" s="168">
        <f>0.0153/20</f>
        <v>7.6499999999999995E-4</v>
      </c>
      <c r="J384" s="162">
        <f t="shared" si="23"/>
        <v>1.5299999999999999E-2</v>
      </c>
      <c r="K384" s="624"/>
      <c r="L384" s="613"/>
      <c r="M384" s="626"/>
    </row>
    <row r="385" spans="1:13" ht="37.5" customHeight="1">
      <c r="A385" s="281" t="s">
        <v>276</v>
      </c>
      <c r="B385" s="245">
        <v>0</v>
      </c>
      <c r="C385" s="245">
        <v>0</v>
      </c>
      <c r="D385" s="253">
        <v>0</v>
      </c>
      <c r="E385" s="253">
        <v>0</v>
      </c>
      <c r="F385" s="277">
        <v>1</v>
      </c>
      <c r="G385" s="278">
        <v>1</v>
      </c>
      <c r="H385" s="277">
        <v>5</v>
      </c>
      <c r="I385" s="279"/>
      <c r="J385" s="280">
        <f>+SUM(J386:J394)</f>
        <v>8.8499999999999995E-2</v>
      </c>
      <c r="K385" s="623" t="s">
        <v>150</v>
      </c>
      <c r="L385" s="612" t="s">
        <v>278</v>
      </c>
      <c r="M385" s="625" t="s">
        <v>277</v>
      </c>
    </row>
    <row r="386" spans="1:13" ht="15.5">
      <c r="A386" s="102" t="s">
        <v>172</v>
      </c>
      <c r="B386" s="116"/>
      <c r="C386" s="85"/>
      <c r="D386" s="89"/>
      <c r="E386" s="127"/>
      <c r="F386" s="129">
        <v>1</v>
      </c>
      <c r="G386" s="130">
        <v>1</v>
      </c>
      <c r="H386" s="129">
        <v>5</v>
      </c>
      <c r="I386" s="131">
        <v>3.0999999999999999E-3</v>
      </c>
      <c r="J386" s="132">
        <f>+I386*H386*G386</f>
        <v>1.55E-2</v>
      </c>
      <c r="K386" s="624"/>
      <c r="L386" s="613"/>
      <c r="M386" s="626"/>
    </row>
    <row r="387" spans="1:13" ht="15.5">
      <c r="A387" s="85" t="s">
        <v>173</v>
      </c>
      <c r="B387" s="116"/>
      <c r="C387" s="85"/>
      <c r="D387" s="89"/>
      <c r="E387" s="127"/>
      <c r="F387" s="132">
        <v>0</v>
      </c>
      <c r="G387" s="132">
        <v>0</v>
      </c>
      <c r="H387" s="132">
        <v>0</v>
      </c>
      <c r="I387" s="131">
        <v>0</v>
      </c>
      <c r="J387" s="132">
        <f t="shared" ref="J387:J394" si="24">+I387*H387*G387*F387</f>
        <v>0</v>
      </c>
      <c r="K387" s="624"/>
      <c r="L387" s="613"/>
      <c r="M387" s="626"/>
    </row>
    <row r="388" spans="1:13" ht="15.5">
      <c r="A388" s="151" t="s">
        <v>174</v>
      </c>
      <c r="B388" s="116"/>
      <c r="C388" s="85"/>
      <c r="D388" s="89"/>
      <c r="E388" s="127"/>
      <c r="F388" s="129">
        <v>1</v>
      </c>
      <c r="G388" s="130">
        <v>1</v>
      </c>
      <c r="H388" s="129">
        <v>4</v>
      </c>
      <c r="I388" s="131">
        <v>5.0000000000000001E-3</v>
      </c>
      <c r="J388" s="132">
        <f t="shared" si="24"/>
        <v>0.02</v>
      </c>
      <c r="K388" s="624"/>
      <c r="L388" s="613"/>
      <c r="M388" s="626"/>
    </row>
    <row r="389" spans="1:13" ht="15.5">
      <c r="A389" s="85" t="s">
        <v>175</v>
      </c>
      <c r="B389" s="116"/>
      <c r="C389" s="85"/>
      <c r="D389" s="89"/>
      <c r="E389" s="127"/>
      <c r="F389" s="132">
        <v>0</v>
      </c>
      <c r="G389" s="132">
        <v>0</v>
      </c>
      <c r="H389" s="132">
        <v>0</v>
      </c>
      <c r="I389" s="131">
        <v>0</v>
      </c>
      <c r="J389" s="132">
        <f t="shared" si="24"/>
        <v>0</v>
      </c>
      <c r="K389" s="624"/>
      <c r="L389" s="613"/>
      <c r="M389" s="626"/>
    </row>
    <row r="390" spans="1:13" ht="15.5">
      <c r="A390" s="151" t="s">
        <v>184</v>
      </c>
      <c r="B390" s="116"/>
      <c r="C390" s="85"/>
      <c r="D390" s="152"/>
      <c r="E390" s="127"/>
      <c r="F390" s="129">
        <v>1</v>
      </c>
      <c r="G390" s="130">
        <v>1</v>
      </c>
      <c r="H390" s="129">
        <v>1</v>
      </c>
      <c r="I390" s="131">
        <v>4.1000000000000002E-2</v>
      </c>
      <c r="J390" s="132">
        <f t="shared" si="24"/>
        <v>4.1000000000000002E-2</v>
      </c>
      <c r="K390" s="624"/>
      <c r="L390" s="613"/>
      <c r="M390" s="626"/>
    </row>
    <row r="391" spans="1:13" ht="15.5">
      <c r="A391" s="85" t="s">
        <v>178</v>
      </c>
      <c r="B391" s="116"/>
      <c r="C391" s="85"/>
      <c r="D391" s="85"/>
      <c r="E391" s="85"/>
      <c r="F391" s="86">
        <v>1</v>
      </c>
      <c r="G391" s="87">
        <v>1</v>
      </c>
      <c r="H391" s="86">
        <v>1</v>
      </c>
      <c r="I391" s="159">
        <v>1.2E-2</v>
      </c>
      <c r="J391" s="160">
        <f t="shared" si="24"/>
        <v>1.2E-2</v>
      </c>
      <c r="K391" s="624"/>
      <c r="L391" s="613"/>
      <c r="M391" s="626"/>
    </row>
    <row r="392" spans="1:13" ht="15.5">
      <c r="A392" s="85" t="s">
        <v>176</v>
      </c>
      <c r="B392" s="116"/>
      <c r="C392" s="85"/>
      <c r="D392" s="85"/>
      <c r="E392" s="127"/>
      <c r="F392" s="132">
        <v>0</v>
      </c>
      <c r="G392" s="132">
        <v>0</v>
      </c>
      <c r="H392" s="132">
        <v>0</v>
      </c>
      <c r="I392" s="131">
        <v>0</v>
      </c>
      <c r="J392" s="132">
        <f t="shared" si="24"/>
        <v>0</v>
      </c>
      <c r="K392" s="624"/>
      <c r="L392" s="613"/>
      <c r="M392" s="626"/>
    </row>
    <row r="393" spans="1:13" ht="15.5">
      <c r="A393" s="85" t="s">
        <v>177</v>
      </c>
      <c r="B393" s="116"/>
      <c r="C393" s="85"/>
      <c r="D393" s="85"/>
      <c r="E393" s="127"/>
      <c r="F393" s="132">
        <v>0</v>
      </c>
      <c r="G393" s="132">
        <v>0</v>
      </c>
      <c r="H393" s="132">
        <v>0</v>
      </c>
      <c r="I393" s="131">
        <v>0</v>
      </c>
      <c r="J393" s="132">
        <f t="shared" si="24"/>
        <v>0</v>
      </c>
      <c r="K393" s="624"/>
      <c r="L393" s="613"/>
      <c r="M393" s="626"/>
    </row>
    <row r="394" spans="1:13" ht="23.25" customHeight="1">
      <c r="A394" s="153" t="s">
        <v>179</v>
      </c>
      <c r="B394" s="124"/>
      <c r="C394" s="94"/>
      <c r="D394" s="94"/>
      <c r="E394" s="219"/>
      <c r="F394" s="162">
        <v>0</v>
      </c>
      <c r="G394" s="162">
        <v>0</v>
      </c>
      <c r="H394" s="162">
        <v>0</v>
      </c>
      <c r="I394" s="168">
        <v>0</v>
      </c>
      <c r="J394" s="162">
        <f t="shared" si="24"/>
        <v>0</v>
      </c>
      <c r="K394" s="624"/>
      <c r="L394" s="613"/>
      <c r="M394" s="626"/>
    </row>
    <row r="395" spans="1:13" ht="74.25" customHeight="1">
      <c r="A395" s="281" t="s">
        <v>279</v>
      </c>
      <c r="B395" s="245">
        <v>0</v>
      </c>
      <c r="C395" s="253">
        <v>0</v>
      </c>
      <c r="D395" s="253">
        <v>0</v>
      </c>
      <c r="E395" s="253">
        <v>0</v>
      </c>
      <c r="F395" s="277">
        <v>1</v>
      </c>
      <c r="G395" s="278">
        <v>2</v>
      </c>
      <c r="H395" s="277">
        <v>5</v>
      </c>
      <c r="I395" s="279"/>
      <c r="J395" s="287">
        <f>+SUM(J396:J404)</f>
        <v>0.10245</v>
      </c>
      <c r="K395" s="623" t="s">
        <v>149</v>
      </c>
      <c r="L395" s="612" t="s">
        <v>280</v>
      </c>
      <c r="M395" s="625" t="s">
        <v>281</v>
      </c>
    </row>
    <row r="396" spans="1:13" ht="15.5">
      <c r="A396" s="102" t="s">
        <v>172</v>
      </c>
      <c r="B396" s="116"/>
      <c r="C396" s="85"/>
      <c r="D396" s="89"/>
      <c r="E396" s="127"/>
      <c r="F396" s="132">
        <v>0</v>
      </c>
      <c r="G396" s="132">
        <v>0</v>
      </c>
      <c r="H396" s="132">
        <v>0</v>
      </c>
      <c r="I396" s="131">
        <v>0</v>
      </c>
      <c r="J396" s="132">
        <f>+I396*H396*G396*F396</f>
        <v>0</v>
      </c>
      <c r="K396" s="624"/>
      <c r="L396" s="613"/>
      <c r="M396" s="626"/>
    </row>
    <row r="397" spans="1:13" ht="15.5">
      <c r="A397" s="85" t="s">
        <v>173</v>
      </c>
      <c r="B397" s="116"/>
      <c r="C397" s="85"/>
      <c r="D397" s="89"/>
      <c r="E397" s="127"/>
      <c r="F397" s="129">
        <v>1</v>
      </c>
      <c r="G397" s="130">
        <v>2</v>
      </c>
      <c r="H397" s="129">
        <v>5</v>
      </c>
      <c r="I397" s="131">
        <v>2.0999999999999999E-3</v>
      </c>
      <c r="J397" s="132">
        <f>+I397*H397*G397</f>
        <v>2.1000000000000001E-2</v>
      </c>
      <c r="K397" s="624"/>
      <c r="L397" s="613"/>
      <c r="M397" s="626"/>
    </row>
    <row r="398" spans="1:13" ht="15.5">
      <c r="A398" s="151" t="s">
        <v>174</v>
      </c>
      <c r="B398" s="116"/>
      <c r="C398" s="85"/>
      <c r="D398" s="89"/>
      <c r="E398" s="127"/>
      <c r="F398" s="132">
        <v>0</v>
      </c>
      <c r="G398" s="132">
        <v>0</v>
      </c>
      <c r="H398" s="132">
        <v>0</v>
      </c>
      <c r="I398" s="131">
        <v>0</v>
      </c>
      <c r="J398" s="132">
        <f t="shared" ref="J398:J404" si="25">+I398*H398*G398*F398</f>
        <v>0</v>
      </c>
      <c r="K398" s="624"/>
      <c r="L398" s="613"/>
      <c r="M398" s="626"/>
    </row>
    <row r="399" spans="1:13" ht="15.5">
      <c r="A399" s="85" t="s">
        <v>175</v>
      </c>
      <c r="B399" s="116"/>
      <c r="C399" s="85"/>
      <c r="D399" s="89"/>
      <c r="E399" s="127"/>
      <c r="F399" s="129">
        <v>1</v>
      </c>
      <c r="G399" s="130">
        <v>2</v>
      </c>
      <c r="H399" s="129">
        <v>4</v>
      </c>
      <c r="I399" s="131">
        <v>3.0000000000000001E-3</v>
      </c>
      <c r="J399" s="132">
        <f t="shared" si="25"/>
        <v>2.4E-2</v>
      </c>
      <c r="K399" s="624"/>
      <c r="L399" s="613"/>
      <c r="M399" s="626"/>
    </row>
    <row r="400" spans="1:13" ht="15.5">
      <c r="A400" s="151" t="s">
        <v>184</v>
      </c>
      <c r="B400" s="116"/>
      <c r="C400" s="85"/>
      <c r="D400" s="152"/>
      <c r="E400" s="127"/>
      <c r="F400" s="129">
        <v>1</v>
      </c>
      <c r="G400" s="130">
        <v>2</v>
      </c>
      <c r="H400" s="129">
        <v>1</v>
      </c>
      <c r="I400" s="131">
        <v>2.5999999999999999E-2</v>
      </c>
      <c r="J400" s="132">
        <f t="shared" si="25"/>
        <v>5.1999999999999998E-2</v>
      </c>
      <c r="K400" s="624"/>
      <c r="L400" s="613"/>
      <c r="M400" s="626"/>
    </row>
    <row r="401" spans="1:13" ht="15.5">
      <c r="A401" s="85" t="s">
        <v>178</v>
      </c>
      <c r="B401" s="116"/>
      <c r="C401" s="85"/>
      <c r="D401" s="85"/>
      <c r="E401" s="85"/>
      <c r="F401" s="132">
        <v>0</v>
      </c>
      <c r="G401" s="132">
        <v>0</v>
      </c>
      <c r="H401" s="132">
        <v>0</v>
      </c>
      <c r="I401" s="131">
        <v>0</v>
      </c>
      <c r="J401" s="132">
        <f t="shared" si="25"/>
        <v>0</v>
      </c>
      <c r="K401" s="624"/>
      <c r="L401" s="613"/>
      <c r="M401" s="626"/>
    </row>
    <row r="402" spans="1:13" ht="15.5">
      <c r="A402" s="85" t="s">
        <v>176</v>
      </c>
      <c r="B402" s="116"/>
      <c r="C402" s="85"/>
      <c r="D402" s="85"/>
      <c r="E402" s="127"/>
      <c r="F402" s="132">
        <v>0</v>
      </c>
      <c r="G402" s="132">
        <v>0</v>
      </c>
      <c r="H402" s="132">
        <v>0</v>
      </c>
      <c r="I402" s="131">
        <v>0</v>
      </c>
      <c r="J402" s="132">
        <f t="shared" si="25"/>
        <v>0</v>
      </c>
      <c r="K402" s="624"/>
      <c r="L402" s="613"/>
      <c r="M402" s="626"/>
    </row>
    <row r="403" spans="1:13" ht="15.5">
      <c r="A403" s="85" t="s">
        <v>177</v>
      </c>
      <c r="B403" s="116"/>
      <c r="C403" s="85"/>
      <c r="D403" s="85"/>
      <c r="E403" s="127"/>
      <c r="F403" s="132">
        <v>0</v>
      </c>
      <c r="G403" s="132">
        <v>0</v>
      </c>
      <c r="H403" s="132">
        <v>0</v>
      </c>
      <c r="I403" s="131">
        <v>0</v>
      </c>
      <c r="J403" s="132">
        <f t="shared" si="25"/>
        <v>0</v>
      </c>
      <c r="K403" s="624"/>
      <c r="L403" s="613"/>
      <c r="M403" s="626"/>
    </row>
    <row r="404" spans="1:13" ht="23.25" customHeight="1">
      <c r="A404" s="153" t="s">
        <v>179</v>
      </c>
      <c r="B404" s="124"/>
      <c r="C404" s="94"/>
      <c r="D404" s="85"/>
      <c r="E404" s="128"/>
      <c r="F404" s="182">
        <v>1</v>
      </c>
      <c r="G404" s="87">
        <v>2</v>
      </c>
      <c r="H404" s="182">
        <v>5</v>
      </c>
      <c r="I404" s="131">
        <f>0.002725/5</f>
        <v>5.4500000000000002E-4</v>
      </c>
      <c r="J404" s="132">
        <f t="shared" si="25"/>
        <v>5.45E-3</v>
      </c>
      <c r="K404" s="624"/>
      <c r="L404" s="613"/>
      <c r="M404" s="626"/>
    </row>
    <row r="405" spans="1:13" ht="37.5" customHeight="1">
      <c r="A405" s="254" t="s">
        <v>283</v>
      </c>
      <c r="B405" s="288">
        <v>0</v>
      </c>
      <c r="C405" s="288">
        <v>0</v>
      </c>
      <c r="D405" s="251">
        <v>7.1800000000000003E-2</v>
      </c>
      <c r="E405" s="649" t="s">
        <v>282</v>
      </c>
      <c r="F405" s="260">
        <v>1</v>
      </c>
      <c r="G405" s="261">
        <v>1</v>
      </c>
      <c r="H405" s="260">
        <v>4</v>
      </c>
      <c r="I405" s="262"/>
      <c r="J405" s="263">
        <f>+SUM(J406:J414)</f>
        <v>6.3399999999999998E-2</v>
      </c>
      <c r="K405" s="609" t="s">
        <v>150</v>
      </c>
      <c r="L405" s="612" t="s">
        <v>284</v>
      </c>
      <c r="M405" s="618" t="s">
        <v>285</v>
      </c>
    </row>
    <row r="406" spans="1:13" ht="15.5">
      <c r="A406" s="102" t="s">
        <v>172</v>
      </c>
      <c r="B406" s="116"/>
      <c r="C406" s="85"/>
      <c r="D406" s="85"/>
      <c r="E406" s="650"/>
      <c r="F406" s="86">
        <v>1</v>
      </c>
      <c r="G406" s="87">
        <v>1</v>
      </c>
      <c r="H406" s="86">
        <v>4</v>
      </c>
      <c r="I406" s="88">
        <v>3.0999999999999999E-3</v>
      </c>
      <c r="J406" s="89">
        <f>+I406*H406*G406</f>
        <v>1.24E-2</v>
      </c>
      <c r="K406" s="610"/>
      <c r="L406" s="613"/>
      <c r="M406" s="621"/>
    </row>
    <row r="407" spans="1:13" ht="15.5">
      <c r="A407" s="85" t="s">
        <v>173</v>
      </c>
      <c r="B407" s="116"/>
      <c r="C407" s="85"/>
      <c r="D407" s="85"/>
      <c r="E407" s="650"/>
      <c r="F407" s="89">
        <v>0</v>
      </c>
      <c r="G407" s="89">
        <v>0</v>
      </c>
      <c r="H407" s="89">
        <v>0</v>
      </c>
      <c r="I407" s="89">
        <v>0</v>
      </c>
      <c r="J407" s="89">
        <f t="shared" ref="J407:J414" si="26">+I407*H407*G407*F407</f>
        <v>0</v>
      </c>
      <c r="K407" s="610"/>
      <c r="L407" s="613"/>
      <c r="M407" s="621"/>
    </row>
    <row r="408" spans="1:13" ht="15.5">
      <c r="A408" s="85" t="s">
        <v>174</v>
      </c>
      <c r="B408" s="116"/>
      <c r="C408" s="85"/>
      <c r="D408" s="85"/>
      <c r="E408" s="650"/>
      <c r="F408" s="86">
        <v>1</v>
      </c>
      <c r="G408" s="86">
        <v>1</v>
      </c>
      <c r="H408" s="86">
        <v>3</v>
      </c>
      <c r="I408" s="89">
        <v>6.0000000000000001E-3</v>
      </c>
      <c r="J408" s="89">
        <f t="shared" si="26"/>
        <v>1.7999999999999999E-2</v>
      </c>
      <c r="K408" s="610"/>
      <c r="L408" s="613"/>
      <c r="M408" s="621"/>
    </row>
    <row r="409" spans="1:13" ht="15.5">
      <c r="A409" s="85" t="s">
        <v>175</v>
      </c>
      <c r="B409" s="116"/>
      <c r="C409" s="85"/>
      <c r="D409" s="85"/>
      <c r="E409" s="650"/>
      <c r="F409" s="89">
        <v>0</v>
      </c>
      <c r="G409" s="89">
        <v>0</v>
      </c>
      <c r="H409" s="89">
        <v>0</v>
      </c>
      <c r="I409" s="89">
        <v>0</v>
      </c>
      <c r="J409" s="89">
        <f t="shared" si="26"/>
        <v>0</v>
      </c>
      <c r="K409" s="610"/>
      <c r="L409" s="613"/>
      <c r="M409" s="621"/>
    </row>
    <row r="410" spans="1:13" ht="15.5">
      <c r="A410" s="85" t="s">
        <v>184</v>
      </c>
      <c r="B410" s="116"/>
      <c r="C410" s="85"/>
      <c r="D410" s="85"/>
      <c r="E410" s="650"/>
      <c r="F410" s="86">
        <v>1</v>
      </c>
      <c r="G410" s="86">
        <v>1</v>
      </c>
      <c r="H410" s="86">
        <v>1</v>
      </c>
      <c r="I410" s="89">
        <v>2.5000000000000001E-2</v>
      </c>
      <c r="J410" s="89">
        <f t="shared" si="26"/>
        <v>2.5000000000000001E-2</v>
      </c>
      <c r="K410" s="610"/>
      <c r="L410" s="613"/>
      <c r="M410" s="621"/>
    </row>
    <row r="411" spans="1:13" ht="15.5">
      <c r="A411" s="85" t="s">
        <v>178</v>
      </c>
      <c r="B411" s="116"/>
      <c r="C411" s="85"/>
      <c r="D411" s="85"/>
      <c r="E411" s="650"/>
      <c r="F411" s="86">
        <v>1</v>
      </c>
      <c r="G411" s="86">
        <v>1</v>
      </c>
      <c r="H411" s="86">
        <v>1</v>
      </c>
      <c r="I411" s="89">
        <v>3.0000000000000001E-3</v>
      </c>
      <c r="J411" s="89">
        <f t="shared" si="26"/>
        <v>3.0000000000000001E-3</v>
      </c>
      <c r="K411" s="610"/>
      <c r="L411" s="613"/>
      <c r="M411" s="621"/>
    </row>
    <row r="412" spans="1:13" ht="15.5">
      <c r="A412" s="85" t="s">
        <v>176</v>
      </c>
      <c r="B412" s="116"/>
      <c r="C412" s="85"/>
      <c r="D412" s="85"/>
      <c r="E412" s="650"/>
      <c r="F412" s="86">
        <v>0</v>
      </c>
      <c r="G412" s="86">
        <v>0</v>
      </c>
      <c r="H412" s="86">
        <v>0</v>
      </c>
      <c r="I412" s="89">
        <v>0</v>
      </c>
      <c r="J412" s="89">
        <f t="shared" si="26"/>
        <v>0</v>
      </c>
      <c r="K412" s="610"/>
      <c r="L412" s="613"/>
      <c r="M412" s="621"/>
    </row>
    <row r="413" spans="1:13" ht="15.5">
      <c r="A413" s="85" t="s">
        <v>177</v>
      </c>
      <c r="B413" s="116"/>
      <c r="C413" s="85"/>
      <c r="D413" s="85"/>
      <c r="E413" s="650"/>
      <c r="F413" s="86">
        <v>0</v>
      </c>
      <c r="G413" s="87">
        <v>0</v>
      </c>
      <c r="H413" s="86">
        <v>0</v>
      </c>
      <c r="I413" s="88">
        <v>0</v>
      </c>
      <c r="J413" s="89">
        <f t="shared" si="26"/>
        <v>0</v>
      </c>
      <c r="K413" s="610"/>
      <c r="L413" s="613"/>
      <c r="M413" s="621"/>
    </row>
    <row r="414" spans="1:13" ht="15.5">
      <c r="A414" s="103" t="s">
        <v>179</v>
      </c>
      <c r="B414" s="124"/>
      <c r="C414" s="94"/>
      <c r="D414" s="94"/>
      <c r="E414" s="651"/>
      <c r="F414" s="105">
        <v>1</v>
      </c>
      <c r="G414" s="106">
        <v>1</v>
      </c>
      <c r="H414" s="105">
        <v>4</v>
      </c>
      <c r="I414" s="97">
        <f>0.005/4</f>
        <v>1.25E-3</v>
      </c>
      <c r="J414" s="98">
        <f t="shared" si="26"/>
        <v>5.0000000000000001E-3</v>
      </c>
      <c r="K414" s="611"/>
      <c r="L414" s="614"/>
      <c r="M414" s="622"/>
    </row>
    <row r="415" spans="1:13" ht="74.25" customHeight="1">
      <c r="A415" s="257" t="s">
        <v>286</v>
      </c>
      <c r="B415" s="289">
        <v>0</v>
      </c>
      <c r="C415" s="289">
        <v>0</v>
      </c>
      <c r="D415" s="289">
        <v>0</v>
      </c>
      <c r="E415" s="289">
        <v>0</v>
      </c>
      <c r="F415" s="260">
        <v>1</v>
      </c>
      <c r="G415" s="261">
        <v>1</v>
      </c>
      <c r="H415" s="260">
        <v>5</v>
      </c>
      <c r="I415" s="262"/>
      <c r="J415" s="263">
        <f>+SUM(J416:J424)</f>
        <v>8.5500000000000007E-2</v>
      </c>
      <c r="K415" s="623" t="s">
        <v>149</v>
      </c>
      <c r="L415" s="612" t="s">
        <v>198</v>
      </c>
      <c r="M415" s="618" t="s">
        <v>287</v>
      </c>
    </row>
    <row r="416" spans="1:13" ht="15.5">
      <c r="A416" s="102" t="s">
        <v>172</v>
      </c>
      <c r="B416" s="116"/>
      <c r="C416" s="85"/>
      <c r="D416" s="85"/>
      <c r="E416" s="85"/>
      <c r="F416" s="86">
        <v>1</v>
      </c>
      <c r="G416" s="87">
        <v>1</v>
      </c>
      <c r="H416" s="86">
        <v>5</v>
      </c>
      <c r="I416" s="88">
        <v>3.0999999999999999E-3</v>
      </c>
      <c r="J416" s="89">
        <f>+I416*H416*G416</f>
        <v>1.55E-2</v>
      </c>
      <c r="K416" s="624"/>
      <c r="L416" s="613"/>
      <c r="M416" s="621"/>
    </row>
    <row r="417" spans="1:13" ht="15.5">
      <c r="A417" s="85" t="s">
        <v>173</v>
      </c>
      <c r="B417" s="116"/>
      <c r="C417" s="85"/>
      <c r="D417" s="85"/>
      <c r="E417" s="85"/>
      <c r="F417" s="89">
        <v>0</v>
      </c>
      <c r="G417" s="89">
        <v>0</v>
      </c>
      <c r="H417" s="89">
        <v>0</v>
      </c>
      <c r="I417" s="89">
        <v>0</v>
      </c>
      <c r="J417" s="89">
        <f>+I417*H417*G417*F417</f>
        <v>0</v>
      </c>
      <c r="K417" s="624"/>
      <c r="L417" s="613"/>
      <c r="M417" s="621"/>
    </row>
    <row r="418" spans="1:13" ht="15.5">
      <c r="A418" s="85" t="s">
        <v>174</v>
      </c>
      <c r="B418" s="116"/>
      <c r="C418" s="85"/>
      <c r="D418" s="85"/>
      <c r="E418" s="85"/>
      <c r="F418" s="86">
        <v>1</v>
      </c>
      <c r="G418" s="86">
        <v>1</v>
      </c>
      <c r="H418" s="86">
        <v>4</v>
      </c>
      <c r="I418" s="89">
        <v>5.0000000000000001E-3</v>
      </c>
      <c r="J418" s="89">
        <f>+I418*H418*G418*F418</f>
        <v>0.02</v>
      </c>
      <c r="K418" s="624"/>
      <c r="L418" s="613"/>
      <c r="M418" s="621"/>
    </row>
    <row r="419" spans="1:13" ht="15.5">
      <c r="A419" s="85" t="s">
        <v>175</v>
      </c>
      <c r="B419" s="116"/>
      <c r="C419" s="85"/>
      <c r="D419" s="85"/>
      <c r="E419" s="85"/>
      <c r="F419" s="89">
        <v>0</v>
      </c>
      <c r="G419" s="89">
        <v>0</v>
      </c>
      <c r="H419" s="89">
        <v>0</v>
      </c>
      <c r="I419" s="89">
        <v>0</v>
      </c>
      <c r="J419" s="89">
        <f>+I419*H419*G419*F419</f>
        <v>0</v>
      </c>
      <c r="K419" s="624"/>
      <c r="L419" s="613"/>
      <c r="M419" s="621"/>
    </row>
    <row r="420" spans="1:13" ht="15.5">
      <c r="A420" s="85" t="s">
        <v>184</v>
      </c>
      <c r="B420" s="116"/>
      <c r="C420" s="85"/>
      <c r="D420" s="85"/>
      <c r="E420" s="85"/>
      <c r="F420" s="86">
        <v>1</v>
      </c>
      <c r="G420" s="86">
        <v>1</v>
      </c>
      <c r="H420" s="86">
        <v>1</v>
      </c>
      <c r="I420" s="89">
        <v>4.4999999999999998E-2</v>
      </c>
      <c r="J420" s="89">
        <f>+I420*H420*G420*F420</f>
        <v>4.4999999999999998E-2</v>
      </c>
      <c r="K420" s="624"/>
      <c r="L420" s="613"/>
      <c r="M420" s="621"/>
    </row>
    <row r="421" spans="1:13" ht="15.5">
      <c r="A421" s="85" t="s">
        <v>178</v>
      </c>
      <c r="B421" s="116"/>
      <c r="C421" s="85"/>
      <c r="D421" s="85"/>
      <c r="E421" s="85"/>
      <c r="F421" s="89">
        <v>0</v>
      </c>
      <c r="G421" s="89">
        <v>0</v>
      </c>
      <c r="H421" s="89">
        <v>0</v>
      </c>
      <c r="I421" s="89">
        <v>0</v>
      </c>
      <c r="J421" s="89">
        <v>0</v>
      </c>
      <c r="K421" s="624"/>
      <c r="L421" s="613"/>
      <c r="M421" s="621"/>
    </row>
    <row r="422" spans="1:13" ht="15.5">
      <c r="A422" s="85" t="s">
        <v>176</v>
      </c>
      <c r="B422" s="116"/>
      <c r="C422" s="85"/>
      <c r="D422" s="85"/>
      <c r="E422" s="85"/>
      <c r="F422" s="89">
        <v>0</v>
      </c>
      <c r="G422" s="89">
        <v>0</v>
      </c>
      <c r="H422" s="89">
        <v>0</v>
      </c>
      <c r="I422" s="89">
        <v>0</v>
      </c>
      <c r="J422" s="89">
        <f>+I422*H422*G422*F422</f>
        <v>0</v>
      </c>
      <c r="K422" s="624"/>
      <c r="L422" s="613"/>
      <c r="M422" s="621"/>
    </row>
    <row r="423" spans="1:13" ht="15.5">
      <c r="A423" s="85" t="s">
        <v>177</v>
      </c>
      <c r="B423" s="116"/>
      <c r="C423" s="85"/>
      <c r="D423" s="85"/>
      <c r="E423" s="85"/>
      <c r="F423" s="89">
        <v>0</v>
      </c>
      <c r="G423" s="89">
        <v>0</v>
      </c>
      <c r="H423" s="89">
        <v>0</v>
      </c>
      <c r="I423" s="88">
        <v>0</v>
      </c>
      <c r="J423" s="89">
        <f>+I423*H423*G423*F423</f>
        <v>0</v>
      </c>
      <c r="K423" s="624"/>
      <c r="L423" s="613"/>
      <c r="M423" s="621"/>
    </row>
    <row r="424" spans="1:13" ht="15.5">
      <c r="A424" s="103" t="s">
        <v>179</v>
      </c>
      <c r="B424" s="124"/>
      <c r="C424" s="94"/>
      <c r="D424" s="94"/>
      <c r="E424" s="94"/>
      <c r="F424" s="105">
        <v>1</v>
      </c>
      <c r="G424" s="106">
        <v>1</v>
      </c>
      <c r="H424" s="105">
        <v>5</v>
      </c>
      <c r="I424" s="97">
        <f>0.005/5</f>
        <v>1E-3</v>
      </c>
      <c r="J424" s="98">
        <f>+I424*H424*G424*F424</f>
        <v>5.0000000000000001E-3</v>
      </c>
      <c r="K424" s="632"/>
      <c r="L424" s="614"/>
      <c r="M424" s="622"/>
    </row>
    <row r="425" spans="1:13" ht="54.75" customHeight="1">
      <c r="A425" s="257" t="s">
        <v>288</v>
      </c>
      <c r="B425" s="289">
        <v>0</v>
      </c>
      <c r="C425" s="289">
        <v>0</v>
      </c>
      <c r="D425" s="289">
        <v>0</v>
      </c>
      <c r="E425" s="289">
        <v>0</v>
      </c>
      <c r="F425" s="260">
        <v>1</v>
      </c>
      <c r="G425" s="261">
        <v>4</v>
      </c>
      <c r="H425" s="260">
        <v>5</v>
      </c>
      <c r="I425" s="262"/>
      <c r="J425" s="263">
        <f>+J426+J427+J428+J429+J430+J431+J432+J433+J434+J435</f>
        <v>0.44800000000000001</v>
      </c>
      <c r="K425" s="623" t="s">
        <v>149</v>
      </c>
      <c r="L425" s="612" t="s">
        <v>289</v>
      </c>
      <c r="M425" s="618" t="s">
        <v>290</v>
      </c>
    </row>
    <row r="426" spans="1:13" ht="15.5">
      <c r="A426" s="102" t="s">
        <v>172</v>
      </c>
      <c r="B426" s="116"/>
      <c r="C426" s="85"/>
      <c r="D426" s="85"/>
      <c r="E426" s="85"/>
      <c r="F426" s="86">
        <v>1</v>
      </c>
      <c r="G426" s="87">
        <v>4</v>
      </c>
      <c r="H426" s="86">
        <v>5</v>
      </c>
      <c r="I426" s="88">
        <v>3.0999999999999999E-3</v>
      </c>
      <c r="J426" s="89">
        <f t="shared" ref="J426:J435" si="27">+I426*H426*G426*F426</f>
        <v>6.2E-2</v>
      </c>
      <c r="K426" s="624"/>
      <c r="L426" s="613"/>
      <c r="M426" s="621"/>
    </row>
    <row r="427" spans="1:13" ht="15.5">
      <c r="A427" s="85" t="s">
        <v>173</v>
      </c>
      <c r="B427" s="116"/>
      <c r="C427" s="85"/>
      <c r="D427" s="85"/>
      <c r="E427" s="85"/>
      <c r="F427" s="89">
        <v>0</v>
      </c>
      <c r="G427" s="89">
        <v>0</v>
      </c>
      <c r="H427" s="89">
        <v>0</v>
      </c>
      <c r="I427" s="89">
        <v>0</v>
      </c>
      <c r="J427" s="89">
        <f t="shared" si="27"/>
        <v>0</v>
      </c>
      <c r="K427" s="624"/>
      <c r="L427" s="613"/>
      <c r="M427" s="621"/>
    </row>
    <row r="428" spans="1:13" ht="15.5">
      <c r="A428" s="85" t="s">
        <v>174</v>
      </c>
      <c r="B428" s="116"/>
      <c r="C428" s="85"/>
      <c r="D428" s="85"/>
      <c r="E428" s="85"/>
      <c r="F428" s="86">
        <v>1</v>
      </c>
      <c r="G428" s="86">
        <v>4</v>
      </c>
      <c r="H428" s="86">
        <v>4</v>
      </c>
      <c r="I428" s="89">
        <v>5.0000000000000001E-3</v>
      </c>
      <c r="J428" s="89">
        <f t="shared" si="27"/>
        <v>0.08</v>
      </c>
      <c r="K428" s="624"/>
      <c r="L428" s="613"/>
      <c r="M428" s="621"/>
    </row>
    <row r="429" spans="1:13" ht="15.5">
      <c r="A429" s="85" t="s">
        <v>175</v>
      </c>
      <c r="B429" s="116"/>
      <c r="C429" s="85"/>
      <c r="D429" s="85"/>
      <c r="E429" s="85"/>
      <c r="F429" s="89">
        <v>0</v>
      </c>
      <c r="G429" s="89">
        <v>0</v>
      </c>
      <c r="H429" s="89">
        <v>0</v>
      </c>
      <c r="I429" s="89">
        <v>0</v>
      </c>
      <c r="J429" s="89">
        <f t="shared" si="27"/>
        <v>0</v>
      </c>
      <c r="K429" s="624"/>
      <c r="L429" s="613"/>
      <c r="M429" s="621"/>
    </row>
    <row r="430" spans="1:13" ht="15.5">
      <c r="A430" s="151" t="s">
        <v>184</v>
      </c>
      <c r="B430" s="116"/>
      <c r="C430" s="85"/>
      <c r="D430" s="85"/>
      <c r="E430" s="85"/>
      <c r="F430" s="86">
        <v>1</v>
      </c>
      <c r="G430" s="86">
        <v>1</v>
      </c>
      <c r="H430" s="86">
        <v>1</v>
      </c>
      <c r="I430" s="89">
        <v>0.13915</v>
      </c>
      <c r="J430" s="89">
        <f t="shared" si="27"/>
        <v>0.13915</v>
      </c>
      <c r="K430" s="624"/>
      <c r="L430" s="613"/>
      <c r="M430" s="621"/>
    </row>
    <row r="431" spans="1:13" ht="15.5">
      <c r="A431" s="141"/>
      <c r="B431" s="116"/>
      <c r="C431" s="85"/>
      <c r="D431" s="85"/>
      <c r="E431" s="85"/>
      <c r="F431" s="86">
        <v>1</v>
      </c>
      <c r="G431" s="86">
        <v>3</v>
      </c>
      <c r="H431" s="86">
        <v>1</v>
      </c>
      <c r="I431" s="89">
        <v>4.8649999999999999E-2</v>
      </c>
      <c r="J431" s="183">
        <f t="shared" si="27"/>
        <v>0.14595</v>
      </c>
      <c r="K431" s="624"/>
      <c r="L431" s="613"/>
      <c r="M431" s="621"/>
    </row>
    <row r="432" spans="1:13" ht="15.5">
      <c r="A432" s="85" t="s">
        <v>178</v>
      </c>
      <c r="B432" s="116"/>
      <c r="C432" s="85"/>
      <c r="D432" s="85"/>
      <c r="E432" s="85"/>
      <c r="F432" s="89">
        <v>0</v>
      </c>
      <c r="G432" s="89">
        <v>0</v>
      </c>
      <c r="H432" s="89">
        <v>0</v>
      </c>
      <c r="I432" s="89">
        <v>0</v>
      </c>
      <c r="J432" s="89">
        <f t="shared" si="27"/>
        <v>0</v>
      </c>
      <c r="K432" s="624"/>
      <c r="L432" s="613"/>
      <c r="M432" s="621"/>
    </row>
    <row r="433" spans="1:13" ht="15.5">
      <c r="A433" s="85" t="s">
        <v>176</v>
      </c>
      <c r="B433" s="116"/>
      <c r="C433" s="85"/>
      <c r="D433" s="85"/>
      <c r="E433" s="85"/>
      <c r="F433" s="89">
        <v>0</v>
      </c>
      <c r="G433" s="89">
        <v>0</v>
      </c>
      <c r="H433" s="89">
        <v>0</v>
      </c>
      <c r="I433" s="89">
        <v>0</v>
      </c>
      <c r="J433" s="89">
        <f t="shared" si="27"/>
        <v>0</v>
      </c>
      <c r="K433" s="624"/>
      <c r="L433" s="613"/>
      <c r="M433" s="621"/>
    </row>
    <row r="434" spans="1:13" ht="15.5">
      <c r="A434" s="85" t="s">
        <v>177</v>
      </c>
      <c r="B434" s="116"/>
      <c r="C434" s="85"/>
      <c r="D434" s="85"/>
      <c r="E434" s="85"/>
      <c r="F434" s="89">
        <v>0</v>
      </c>
      <c r="G434" s="89">
        <v>0</v>
      </c>
      <c r="H434" s="89">
        <v>0</v>
      </c>
      <c r="I434" s="88">
        <v>0</v>
      </c>
      <c r="J434" s="89">
        <f t="shared" si="27"/>
        <v>0</v>
      </c>
      <c r="K434" s="624"/>
      <c r="L434" s="613"/>
      <c r="M434" s="621"/>
    </row>
    <row r="435" spans="1:13" ht="15.5">
      <c r="A435" s="103" t="s">
        <v>179</v>
      </c>
      <c r="B435" s="124"/>
      <c r="C435" s="94"/>
      <c r="D435" s="94"/>
      <c r="E435" s="94"/>
      <c r="F435" s="105">
        <v>1</v>
      </c>
      <c r="G435" s="106">
        <v>4</v>
      </c>
      <c r="H435" s="105">
        <v>5</v>
      </c>
      <c r="I435" s="97">
        <f>0.005225/5</f>
        <v>1.0449999999999999E-3</v>
      </c>
      <c r="J435" s="122">
        <f t="shared" si="27"/>
        <v>2.0899999999999998E-2</v>
      </c>
      <c r="K435" s="632"/>
      <c r="L435" s="614"/>
      <c r="M435" s="622"/>
    </row>
    <row r="436" spans="1:13" ht="62.25" customHeight="1">
      <c r="A436" s="257" t="s">
        <v>298</v>
      </c>
      <c r="B436" s="245">
        <v>0</v>
      </c>
      <c r="C436" s="245">
        <v>0</v>
      </c>
      <c r="D436" s="245">
        <v>0</v>
      </c>
      <c r="E436" s="245">
        <v>0</v>
      </c>
      <c r="F436" s="260">
        <v>1</v>
      </c>
      <c r="G436" s="261">
        <v>1</v>
      </c>
      <c r="H436" s="260">
        <v>4</v>
      </c>
      <c r="I436" s="262"/>
      <c r="J436" s="263">
        <f>+SUM(J437:J444)</f>
        <v>5.4199999999999998E-2</v>
      </c>
      <c r="K436" s="623" t="s">
        <v>149</v>
      </c>
      <c r="L436" s="612" t="s">
        <v>291</v>
      </c>
      <c r="M436" s="619" t="s">
        <v>292</v>
      </c>
    </row>
    <row r="437" spans="1:13" ht="15.5">
      <c r="A437" s="102" t="s">
        <v>172</v>
      </c>
      <c r="B437" s="116"/>
      <c r="C437" s="85"/>
      <c r="D437" s="85"/>
      <c r="E437" s="85"/>
      <c r="F437" s="86">
        <v>1</v>
      </c>
      <c r="G437" s="87">
        <v>1</v>
      </c>
      <c r="H437" s="86">
        <v>4</v>
      </c>
      <c r="I437" s="88">
        <v>3.0999999999999999E-3</v>
      </c>
      <c r="J437" s="89">
        <f>+I437*H437*G437</f>
        <v>1.24E-2</v>
      </c>
      <c r="K437" s="624"/>
      <c r="L437" s="613"/>
      <c r="M437" s="619"/>
    </row>
    <row r="438" spans="1:13" ht="15.5">
      <c r="A438" s="85" t="s">
        <v>173</v>
      </c>
      <c r="B438" s="116"/>
      <c r="C438" s="85"/>
      <c r="D438" s="85"/>
      <c r="E438" s="85"/>
      <c r="F438" s="86">
        <v>0</v>
      </c>
      <c r="G438" s="87">
        <v>0</v>
      </c>
      <c r="H438" s="86">
        <v>0</v>
      </c>
      <c r="I438" s="88">
        <v>0</v>
      </c>
      <c r="J438" s="89">
        <f t="shared" ref="J438:J444" si="28">+I438*H438*G438*F438</f>
        <v>0</v>
      </c>
      <c r="K438" s="624"/>
      <c r="L438" s="613"/>
      <c r="M438" s="619"/>
    </row>
    <row r="439" spans="1:13" ht="15.5">
      <c r="A439" s="85" t="s">
        <v>174</v>
      </c>
      <c r="B439" s="116"/>
      <c r="C439" s="85"/>
      <c r="D439" s="85"/>
      <c r="E439" s="85"/>
      <c r="F439" s="86">
        <v>1</v>
      </c>
      <c r="G439" s="87">
        <v>1</v>
      </c>
      <c r="H439" s="86">
        <v>4</v>
      </c>
      <c r="I439" s="88">
        <v>5.0000000000000001E-3</v>
      </c>
      <c r="J439" s="89">
        <f t="shared" si="28"/>
        <v>0.02</v>
      </c>
      <c r="K439" s="624"/>
      <c r="L439" s="613"/>
      <c r="M439" s="619"/>
    </row>
    <row r="440" spans="1:13" ht="15.5">
      <c r="A440" s="85" t="s">
        <v>175</v>
      </c>
      <c r="B440" s="116"/>
      <c r="C440" s="85"/>
      <c r="D440" s="85"/>
      <c r="E440" s="85"/>
      <c r="F440" s="86">
        <v>0</v>
      </c>
      <c r="G440" s="87">
        <v>0</v>
      </c>
      <c r="H440" s="86">
        <v>0</v>
      </c>
      <c r="I440" s="88">
        <v>0</v>
      </c>
      <c r="J440" s="89">
        <f t="shared" si="28"/>
        <v>0</v>
      </c>
      <c r="K440" s="624"/>
      <c r="L440" s="613"/>
      <c r="M440" s="619"/>
    </row>
    <row r="441" spans="1:13" ht="15.5">
      <c r="A441" s="85" t="s">
        <v>184</v>
      </c>
      <c r="B441" s="116"/>
      <c r="C441" s="85"/>
      <c r="D441" s="85"/>
      <c r="E441" s="85"/>
      <c r="F441" s="86">
        <v>1</v>
      </c>
      <c r="G441" s="87">
        <v>1</v>
      </c>
      <c r="H441" s="86">
        <v>1</v>
      </c>
      <c r="I441" s="88">
        <v>1.7000000000000001E-2</v>
      </c>
      <c r="J441" s="89">
        <f t="shared" si="28"/>
        <v>1.7000000000000001E-2</v>
      </c>
      <c r="K441" s="624"/>
      <c r="L441" s="613"/>
      <c r="M441" s="619"/>
    </row>
    <row r="442" spans="1:13" ht="15.5">
      <c r="A442" s="85" t="s">
        <v>176</v>
      </c>
      <c r="B442" s="116"/>
      <c r="C442" s="85"/>
      <c r="D442" s="85"/>
      <c r="E442" s="85"/>
      <c r="F442" s="86">
        <v>0</v>
      </c>
      <c r="G442" s="87">
        <v>0</v>
      </c>
      <c r="H442" s="86">
        <v>0</v>
      </c>
      <c r="I442" s="88">
        <v>0</v>
      </c>
      <c r="J442" s="89">
        <f t="shared" si="28"/>
        <v>0</v>
      </c>
      <c r="K442" s="624"/>
      <c r="L442" s="613"/>
      <c r="M442" s="619"/>
    </row>
    <row r="443" spans="1:13" ht="15.5">
      <c r="A443" s="85" t="s">
        <v>177</v>
      </c>
      <c r="B443" s="116"/>
      <c r="C443" s="85"/>
      <c r="D443" s="85"/>
      <c r="E443" s="85"/>
      <c r="F443" s="86">
        <v>0</v>
      </c>
      <c r="G443" s="87">
        <v>0</v>
      </c>
      <c r="H443" s="86">
        <v>0</v>
      </c>
      <c r="I443" s="88">
        <v>0</v>
      </c>
      <c r="J443" s="89">
        <f t="shared" si="28"/>
        <v>0</v>
      </c>
      <c r="K443" s="624"/>
      <c r="L443" s="613"/>
      <c r="M443" s="619"/>
    </row>
    <row r="444" spans="1:13" ht="54" customHeight="1">
      <c r="A444" s="146" t="s">
        <v>179</v>
      </c>
      <c r="B444" s="184"/>
      <c r="C444" s="146"/>
      <c r="D444" s="146"/>
      <c r="E444" s="146"/>
      <c r="F444" s="105">
        <v>1</v>
      </c>
      <c r="G444" s="106">
        <v>1</v>
      </c>
      <c r="H444" s="105">
        <v>4</v>
      </c>
      <c r="I444" s="144">
        <f>0.0048/4</f>
        <v>1.1999999999999999E-3</v>
      </c>
      <c r="J444" s="145">
        <f t="shared" si="28"/>
        <v>4.7999999999999996E-3</v>
      </c>
      <c r="K444" s="632"/>
      <c r="L444" s="614"/>
      <c r="M444" s="620"/>
    </row>
  </sheetData>
  <mergeCells count="136">
    <mergeCell ref="L436:L444"/>
    <mergeCell ref="K436:K444"/>
    <mergeCell ref="E405:E414"/>
    <mergeCell ref="K415:K424"/>
    <mergeCell ref="L415:L424"/>
    <mergeCell ref="M415:M424"/>
    <mergeCell ref="K425:K435"/>
    <mergeCell ref="L425:L435"/>
    <mergeCell ref="M425:M435"/>
    <mergeCell ref="M405:M414"/>
    <mergeCell ref="M436:M444"/>
    <mergeCell ref="K405:K414"/>
    <mergeCell ref="L405:L414"/>
    <mergeCell ref="M69:M78"/>
    <mergeCell ref="M60:M68"/>
    <mergeCell ref="K341:K351"/>
    <mergeCell ref="L341:L351"/>
    <mergeCell ref="M341:M351"/>
    <mergeCell ref="K352:K363"/>
    <mergeCell ref="L352:L363"/>
    <mergeCell ref="M352:M363"/>
    <mergeCell ref="K364:K375"/>
    <mergeCell ref="L364:L375"/>
    <mergeCell ref="M364:M375"/>
    <mergeCell ref="M142:M156"/>
    <mergeCell ref="L309:L319"/>
    <mergeCell ref="L69:L78"/>
    <mergeCell ref="K69:K78"/>
    <mergeCell ref="K187:K195"/>
    <mergeCell ref="K79:K88"/>
    <mergeCell ref="L79:L88"/>
    <mergeCell ref="M79:M88"/>
    <mergeCell ref="K89:K99"/>
    <mergeCell ref="L89:L99"/>
    <mergeCell ref="M89:M99"/>
    <mergeCell ref="L120:L129"/>
    <mergeCell ref="M178:M186"/>
    <mergeCell ref="M11:M20"/>
    <mergeCell ref="M21:M30"/>
    <mergeCell ref="M31:M39"/>
    <mergeCell ref="M120:M129"/>
    <mergeCell ref="A1:M1"/>
    <mergeCell ref="B4:C4"/>
    <mergeCell ref="F4:J4"/>
    <mergeCell ref="F5:F6"/>
    <mergeCell ref="G5:G6"/>
    <mergeCell ref="H5:H6"/>
    <mergeCell ref="I5:I6"/>
    <mergeCell ref="J5:J6"/>
    <mergeCell ref="K100:K109"/>
    <mergeCell ref="L100:L109"/>
    <mergeCell ref="M100:M109"/>
    <mergeCell ref="K110:K119"/>
    <mergeCell ref="L110:L119"/>
    <mergeCell ref="M110:M119"/>
    <mergeCell ref="K120:K129"/>
    <mergeCell ref="D4:E4"/>
    <mergeCell ref="M40:M49"/>
    <mergeCell ref="M50:M59"/>
    <mergeCell ref="L21:L30"/>
    <mergeCell ref="K21:K30"/>
    <mergeCell ref="L11:L20"/>
    <mergeCell ref="L50:L59"/>
    <mergeCell ref="L40:L49"/>
    <mergeCell ref="L31:L39"/>
    <mergeCell ref="K60:K68"/>
    <mergeCell ref="K50:K59"/>
    <mergeCell ref="K40:K49"/>
    <mergeCell ref="K31:K39"/>
    <mergeCell ref="L60:L68"/>
    <mergeCell ref="L133:L141"/>
    <mergeCell ref="K133:K141"/>
    <mergeCell ref="K142:K156"/>
    <mergeCell ref="L142:L156"/>
    <mergeCell ref="L157:L165"/>
    <mergeCell ref="K157:K165"/>
    <mergeCell ref="L166:L177"/>
    <mergeCell ref="K166:K177"/>
    <mergeCell ref="K178:K186"/>
    <mergeCell ref="L178:L186"/>
    <mergeCell ref="M258:M268"/>
    <mergeCell ref="K269:K279"/>
    <mergeCell ref="L269:L279"/>
    <mergeCell ref="M280:M288"/>
    <mergeCell ref="L280:L288"/>
    <mergeCell ref="L320:L329"/>
    <mergeCell ref="K330:K340"/>
    <mergeCell ref="K205:K214"/>
    <mergeCell ref="M215:M224"/>
    <mergeCell ref="K309:K319"/>
    <mergeCell ref="L330:L340"/>
    <mergeCell ref="M330:M340"/>
    <mergeCell ref="M269:M279"/>
    <mergeCell ref="M320:M329"/>
    <mergeCell ref="M300:M308"/>
    <mergeCell ref="K236:K246"/>
    <mergeCell ref="L236:L246"/>
    <mergeCell ref="M236:M246"/>
    <mergeCell ref="K247:K257"/>
    <mergeCell ref="L247:L257"/>
    <mergeCell ref="M247:M257"/>
    <mergeCell ref="K376:K384"/>
    <mergeCell ref="L376:L384"/>
    <mergeCell ref="M376:M384"/>
    <mergeCell ref="K385:K394"/>
    <mergeCell ref="L385:L394"/>
    <mergeCell ref="M385:M394"/>
    <mergeCell ref="K395:K404"/>
    <mergeCell ref="K320:K329"/>
    <mergeCell ref="M309:M319"/>
    <mergeCell ref="L395:L404"/>
    <mergeCell ref="M395:M404"/>
    <mergeCell ref="E50:E59"/>
    <mergeCell ref="K280:K288"/>
    <mergeCell ref="K289:K299"/>
    <mergeCell ref="L289:L299"/>
    <mergeCell ref="M289:M299"/>
    <mergeCell ref="K300:K308"/>
    <mergeCell ref="L300:L308"/>
    <mergeCell ref="M166:M177"/>
    <mergeCell ref="M133:M141"/>
    <mergeCell ref="M187:M195"/>
    <mergeCell ref="M157:M165"/>
    <mergeCell ref="L187:L195"/>
    <mergeCell ref="K215:K224"/>
    <mergeCell ref="L215:L224"/>
    <mergeCell ref="K225:K235"/>
    <mergeCell ref="L225:L235"/>
    <mergeCell ref="M225:M235"/>
    <mergeCell ref="K196:K204"/>
    <mergeCell ref="L196:L204"/>
    <mergeCell ref="M196:M204"/>
    <mergeCell ref="M205:M214"/>
    <mergeCell ref="L205:L214"/>
    <mergeCell ref="K258:K268"/>
    <mergeCell ref="L258:L26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S86"/>
  <sheetViews>
    <sheetView workbookViewId="0">
      <selection activeCell="R13" sqref="R13"/>
    </sheetView>
  </sheetViews>
  <sheetFormatPr defaultColWidth="9" defaultRowHeight="22"/>
  <cols>
    <col min="1" max="1" width="5.75" style="427" customWidth="1"/>
    <col min="2" max="2" width="9.25" style="428" customWidth="1"/>
    <col min="3" max="3" width="7.58203125" style="428" customWidth="1"/>
    <col min="4" max="4" width="8.5" style="428" customWidth="1"/>
    <col min="5" max="5" width="6.58203125" style="428" customWidth="1"/>
    <col min="6" max="6" width="5.58203125" style="428" customWidth="1"/>
    <col min="7" max="7" width="11" style="428" customWidth="1"/>
    <col min="8" max="8" width="10.33203125" style="428" customWidth="1"/>
    <col min="9" max="9" width="10.83203125" style="428" customWidth="1"/>
    <col min="10" max="10" width="9.08203125" style="428" customWidth="1"/>
    <col min="11" max="11" width="6.75" style="428" customWidth="1"/>
    <col min="12" max="12" width="6.33203125" style="428" customWidth="1"/>
    <col min="13" max="13" width="6.58203125" style="428" customWidth="1"/>
    <col min="14" max="14" width="5.58203125" style="428" customWidth="1"/>
    <col min="15" max="15" width="5" style="429" hidden="1" customWidth="1"/>
    <col min="16" max="16" width="9" style="428" customWidth="1"/>
    <col min="17" max="16384" width="9" style="428"/>
  </cols>
  <sheetData>
    <row r="1" spans="1:18" s="350" customFormat="1" ht="23">
      <c r="A1" s="724" t="s">
        <v>385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349"/>
    </row>
    <row r="2" spans="1:18" s="350" customFormat="1" ht="23">
      <c r="A2" s="724"/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349"/>
    </row>
    <row r="3" spans="1:18" s="351" customFormat="1" ht="23">
      <c r="A3" s="725" t="s">
        <v>152</v>
      </c>
      <c r="B3" s="725"/>
      <c r="C3" s="725" t="s">
        <v>386</v>
      </c>
      <c r="D3" s="725"/>
      <c r="E3" s="725"/>
      <c r="F3" s="725"/>
      <c r="G3" s="725"/>
      <c r="I3" s="352"/>
      <c r="J3" s="353"/>
      <c r="K3" s="353"/>
      <c r="L3" s="352"/>
      <c r="M3" s="352"/>
      <c r="N3" s="352"/>
      <c r="O3" s="349"/>
    </row>
    <row r="4" spans="1:18" s="351" customFormat="1" ht="23.5" thickBot="1">
      <c r="A4" s="726" t="s">
        <v>153</v>
      </c>
      <c r="B4" s="727"/>
      <c r="C4" s="728" t="s">
        <v>387</v>
      </c>
      <c r="D4" s="728"/>
      <c r="E4" s="729">
        <f>+E7</f>
        <v>9801300</v>
      </c>
      <c r="F4" s="729"/>
      <c r="G4" s="354" t="s">
        <v>388</v>
      </c>
      <c r="H4" s="352" t="s">
        <v>320</v>
      </c>
      <c r="I4" s="355" t="s">
        <v>137</v>
      </c>
      <c r="J4" s="354" t="s">
        <v>389</v>
      </c>
      <c r="K4" s="352" t="s">
        <v>390</v>
      </c>
      <c r="L4" s="729">
        <f>+E7</f>
        <v>9801300</v>
      </c>
      <c r="M4" s="729"/>
      <c r="N4" s="354" t="s">
        <v>388</v>
      </c>
      <c r="O4" s="356"/>
    </row>
    <row r="5" spans="1:18" s="357" customFormat="1" ht="23.5" thickTop="1">
      <c r="A5" s="354"/>
      <c r="C5" s="358" t="s">
        <v>391</v>
      </c>
      <c r="E5" s="714">
        <v>0</v>
      </c>
      <c r="F5" s="714"/>
      <c r="G5" s="357" t="s">
        <v>388</v>
      </c>
      <c r="I5" s="359" t="s">
        <v>143</v>
      </c>
      <c r="J5" s="357" t="s">
        <v>389</v>
      </c>
      <c r="M5" s="359" t="s">
        <v>143</v>
      </c>
      <c r="N5" s="357" t="s">
        <v>389</v>
      </c>
      <c r="O5" s="349"/>
    </row>
    <row r="6" spans="1:18" s="357" customFormat="1" ht="23">
      <c r="A6" s="354"/>
      <c r="C6" s="358" t="s">
        <v>392</v>
      </c>
      <c r="E6" s="715">
        <v>0</v>
      </c>
      <c r="F6" s="715"/>
      <c r="G6" s="357" t="s">
        <v>388</v>
      </c>
      <c r="I6" s="359" t="s">
        <v>143</v>
      </c>
      <c r="J6" s="357" t="s">
        <v>389</v>
      </c>
      <c r="M6" s="359" t="s">
        <v>143</v>
      </c>
      <c r="N6" s="357" t="s">
        <v>389</v>
      </c>
      <c r="O6" s="349"/>
    </row>
    <row r="7" spans="1:18" s="357" customFormat="1" ht="23">
      <c r="A7" s="354"/>
      <c r="C7" s="358" t="s">
        <v>393</v>
      </c>
      <c r="E7" s="715">
        <f>+H10+H22+H40+H55</f>
        <v>9801300</v>
      </c>
      <c r="F7" s="715"/>
      <c r="G7" s="357" t="s">
        <v>388</v>
      </c>
      <c r="I7" s="359" t="s">
        <v>143</v>
      </c>
      <c r="J7" s="357" t="s">
        <v>389</v>
      </c>
      <c r="L7" s="716">
        <f>+L4</f>
        <v>9801300</v>
      </c>
      <c r="M7" s="716"/>
      <c r="N7" s="357" t="s">
        <v>389</v>
      </c>
      <c r="O7" s="349"/>
    </row>
    <row r="8" spans="1:18" s="350" customFormat="1" ht="23">
      <c r="A8" s="360"/>
      <c r="E8" s="361"/>
      <c r="F8" s="362"/>
      <c r="G8" s="361"/>
      <c r="H8" s="363"/>
      <c r="M8" s="717" t="s">
        <v>394</v>
      </c>
      <c r="N8" s="717"/>
      <c r="O8" s="349"/>
      <c r="Q8" s="357"/>
      <c r="R8" s="357"/>
    </row>
    <row r="9" spans="1:18" s="290" customFormat="1" ht="54">
      <c r="A9" s="364" t="s">
        <v>395</v>
      </c>
      <c r="B9" s="718" t="s">
        <v>396</v>
      </c>
      <c r="C9" s="719"/>
      <c r="D9" s="720"/>
      <c r="E9" s="365" t="s">
        <v>397</v>
      </c>
      <c r="F9" s="365" t="s">
        <v>398</v>
      </c>
      <c r="G9" s="365" t="s">
        <v>399</v>
      </c>
      <c r="H9" s="365" t="s">
        <v>400</v>
      </c>
      <c r="I9" s="718" t="s">
        <v>401</v>
      </c>
      <c r="J9" s="719"/>
      <c r="K9" s="720"/>
      <c r="L9" s="721" t="s">
        <v>402</v>
      </c>
      <c r="M9" s="722"/>
      <c r="N9" s="723"/>
      <c r="O9" s="366"/>
      <c r="Q9" s="357"/>
      <c r="R9" s="357"/>
    </row>
    <row r="10" spans="1:18" s="370" customFormat="1" ht="20.5">
      <c r="A10" s="367">
        <v>1</v>
      </c>
      <c r="B10" s="706"/>
      <c r="C10" s="707"/>
      <c r="D10" s="708"/>
      <c r="E10" s="368">
        <f>+E11+E15</f>
        <v>9</v>
      </c>
      <c r="F10" s="368">
        <f>+F11+F15</f>
        <v>45</v>
      </c>
      <c r="G10" s="368">
        <f>+G11+G15</f>
        <v>319200</v>
      </c>
      <c r="H10" s="368">
        <f>+H11+H15</f>
        <v>1620100</v>
      </c>
      <c r="I10" s="709"/>
      <c r="J10" s="710"/>
      <c r="K10" s="711"/>
      <c r="L10" s="712"/>
      <c r="M10" s="712"/>
      <c r="N10" s="712"/>
      <c r="O10" s="369"/>
    </row>
    <row r="11" spans="1:18" s="370" customFormat="1" ht="20.5">
      <c r="A11" s="371"/>
      <c r="B11" s="688" t="s">
        <v>403</v>
      </c>
      <c r="C11" s="689"/>
      <c r="D11" s="690"/>
      <c r="E11" s="372">
        <f>SUM(E12:E14)</f>
        <v>3</v>
      </c>
      <c r="F11" s="372">
        <f>SUM(F12:F14)</f>
        <v>12</v>
      </c>
      <c r="G11" s="372">
        <f>SUM(G12:G14)</f>
        <v>109850</v>
      </c>
      <c r="H11" s="372">
        <f>SUM(H12:H14)</f>
        <v>439400</v>
      </c>
      <c r="I11" s="688" t="s">
        <v>403</v>
      </c>
      <c r="J11" s="689"/>
      <c r="K11" s="690"/>
      <c r="L11" s="713"/>
      <c r="M11" s="713"/>
      <c r="N11" s="713"/>
      <c r="O11" s="369"/>
    </row>
    <row r="12" spans="1:18" s="290" customFormat="1" ht="23">
      <c r="A12" s="373"/>
      <c r="B12" s="661" t="s">
        <v>171</v>
      </c>
      <c r="C12" s="662"/>
      <c r="D12" s="663"/>
      <c r="E12" s="374">
        <v>1</v>
      </c>
      <c r="F12" s="374">
        <v>4</v>
      </c>
      <c r="G12" s="375">
        <f>+SUM(H12/F12)</f>
        <v>27500</v>
      </c>
      <c r="H12" s="376">
        <v>110000</v>
      </c>
      <c r="I12" s="664" t="s">
        <v>404</v>
      </c>
      <c r="J12" s="665"/>
      <c r="K12" s="666"/>
      <c r="L12" s="673" t="s">
        <v>405</v>
      </c>
      <c r="M12" s="674"/>
      <c r="N12" s="675"/>
      <c r="O12" s="377">
        <v>1</v>
      </c>
    </row>
    <row r="13" spans="1:18" s="290" customFormat="1" ht="23">
      <c r="A13" s="373"/>
      <c r="B13" s="661" t="s">
        <v>406</v>
      </c>
      <c r="C13" s="662"/>
      <c r="D13" s="663"/>
      <c r="E13" s="374">
        <v>1</v>
      </c>
      <c r="F13" s="374">
        <v>4</v>
      </c>
      <c r="G13" s="375">
        <f>+SUM(H13/F13)</f>
        <v>68800</v>
      </c>
      <c r="H13" s="375">
        <v>275200</v>
      </c>
      <c r="I13" s="667"/>
      <c r="J13" s="668"/>
      <c r="K13" s="669"/>
      <c r="L13" s="676"/>
      <c r="M13" s="677"/>
      <c r="N13" s="678"/>
      <c r="O13" s="377"/>
    </row>
    <row r="14" spans="1:18" s="290" customFormat="1" ht="23">
      <c r="A14" s="373"/>
      <c r="B14" s="661" t="s">
        <v>407</v>
      </c>
      <c r="C14" s="662"/>
      <c r="D14" s="663"/>
      <c r="E14" s="378">
        <v>1</v>
      </c>
      <c r="F14" s="378">
        <v>4</v>
      </c>
      <c r="G14" s="375">
        <f>+H14/F14</f>
        <v>13550</v>
      </c>
      <c r="H14" s="379">
        <v>54200</v>
      </c>
      <c r="I14" s="670"/>
      <c r="J14" s="671"/>
      <c r="K14" s="672"/>
      <c r="L14" s="679"/>
      <c r="M14" s="680"/>
      <c r="N14" s="681"/>
      <c r="O14" s="377">
        <v>21</v>
      </c>
    </row>
    <row r="15" spans="1:18" s="290" customFormat="1" ht="23">
      <c r="A15" s="373"/>
      <c r="B15" s="655" t="s">
        <v>408</v>
      </c>
      <c r="C15" s="656"/>
      <c r="D15" s="657"/>
      <c r="E15" s="380">
        <f>SUM(E16:E21)</f>
        <v>6</v>
      </c>
      <c r="F15" s="380">
        <f>SUM(F16:F21)</f>
        <v>33</v>
      </c>
      <c r="G15" s="372">
        <f>SUM(G16:G21)</f>
        <v>209350</v>
      </c>
      <c r="H15" s="372">
        <f>SUM(H16:H21)</f>
        <v>1180700</v>
      </c>
      <c r="I15" s="655" t="s">
        <v>408</v>
      </c>
      <c r="J15" s="656"/>
      <c r="K15" s="657"/>
      <c r="L15" s="381"/>
      <c r="M15" s="382"/>
      <c r="N15" s="383"/>
      <c r="O15" s="377">
        <v>21</v>
      </c>
    </row>
    <row r="16" spans="1:18" s="290" customFormat="1" ht="23">
      <c r="A16" s="373"/>
      <c r="B16" s="661" t="s">
        <v>409</v>
      </c>
      <c r="C16" s="662"/>
      <c r="D16" s="663"/>
      <c r="E16" s="374">
        <v>1</v>
      </c>
      <c r="F16" s="374">
        <v>6</v>
      </c>
      <c r="G16" s="375">
        <f t="shared" ref="G16:G21" si="0">+H16/F16</f>
        <v>88000</v>
      </c>
      <c r="H16" s="375">
        <v>528000</v>
      </c>
      <c r="I16" s="664" t="s">
        <v>410</v>
      </c>
      <c r="J16" s="665"/>
      <c r="K16" s="666"/>
      <c r="L16" s="673" t="s">
        <v>411</v>
      </c>
      <c r="M16" s="674"/>
      <c r="N16" s="675"/>
      <c r="O16" s="377">
        <v>5</v>
      </c>
    </row>
    <row r="17" spans="1:19" s="290" customFormat="1" ht="66" customHeight="1">
      <c r="A17" s="373"/>
      <c r="B17" s="661" t="s">
        <v>412</v>
      </c>
      <c r="C17" s="662"/>
      <c r="D17" s="663"/>
      <c r="E17" s="374">
        <v>1</v>
      </c>
      <c r="F17" s="374">
        <v>5</v>
      </c>
      <c r="G17" s="375">
        <f t="shared" si="0"/>
        <v>42200</v>
      </c>
      <c r="H17" s="375">
        <v>211000</v>
      </c>
      <c r="I17" s="667"/>
      <c r="J17" s="668"/>
      <c r="K17" s="669"/>
      <c r="L17" s="676"/>
      <c r="M17" s="677"/>
      <c r="N17" s="678"/>
      <c r="O17" s="377">
        <v>11</v>
      </c>
    </row>
    <row r="18" spans="1:19" s="290" customFormat="1" ht="71.25" customHeight="1">
      <c r="A18" s="373"/>
      <c r="B18" s="661" t="s">
        <v>413</v>
      </c>
      <c r="C18" s="662"/>
      <c r="D18" s="663"/>
      <c r="E18" s="374">
        <v>1</v>
      </c>
      <c r="F18" s="374">
        <v>5</v>
      </c>
      <c r="G18" s="375">
        <f t="shared" si="0"/>
        <v>25000</v>
      </c>
      <c r="H18" s="375">
        <v>125000</v>
      </c>
      <c r="I18" s="667"/>
      <c r="J18" s="668"/>
      <c r="K18" s="669"/>
      <c r="L18" s="676"/>
      <c r="M18" s="677"/>
      <c r="N18" s="678"/>
      <c r="O18" s="377">
        <v>23</v>
      </c>
    </row>
    <row r="19" spans="1:19" s="290" customFormat="1" ht="64.5" customHeight="1">
      <c r="A19" s="373"/>
      <c r="B19" s="661" t="s">
        <v>414</v>
      </c>
      <c r="C19" s="662"/>
      <c r="D19" s="663"/>
      <c r="E19" s="378">
        <v>1</v>
      </c>
      <c r="F19" s="378">
        <v>8</v>
      </c>
      <c r="G19" s="375">
        <f t="shared" si="0"/>
        <v>20600</v>
      </c>
      <c r="H19" s="379">
        <v>164800</v>
      </c>
      <c r="I19" s="667"/>
      <c r="J19" s="668"/>
      <c r="K19" s="669"/>
      <c r="L19" s="676"/>
      <c r="M19" s="677"/>
      <c r="N19" s="678"/>
      <c r="O19" s="377">
        <v>26</v>
      </c>
    </row>
    <row r="20" spans="1:19" s="290" customFormat="1" ht="70.5" customHeight="1">
      <c r="A20" s="373"/>
      <c r="B20" s="661" t="s">
        <v>415</v>
      </c>
      <c r="C20" s="662"/>
      <c r="D20" s="663"/>
      <c r="E20" s="378">
        <v>1</v>
      </c>
      <c r="F20" s="378">
        <v>5</v>
      </c>
      <c r="G20" s="375">
        <f t="shared" si="0"/>
        <v>17700</v>
      </c>
      <c r="H20" s="379">
        <v>88500</v>
      </c>
      <c r="I20" s="667"/>
      <c r="J20" s="668"/>
      <c r="K20" s="669"/>
      <c r="L20" s="384"/>
      <c r="M20" s="385"/>
      <c r="N20" s="386"/>
      <c r="O20" s="377">
        <v>26</v>
      </c>
    </row>
    <row r="21" spans="1:19" s="290" customFormat="1" ht="42.75" customHeight="1">
      <c r="A21" s="373"/>
      <c r="B21" s="661" t="s">
        <v>416</v>
      </c>
      <c r="C21" s="662"/>
      <c r="D21" s="663"/>
      <c r="E21" s="378">
        <v>1</v>
      </c>
      <c r="F21" s="378">
        <v>4</v>
      </c>
      <c r="G21" s="375">
        <f t="shared" si="0"/>
        <v>15850</v>
      </c>
      <c r="H21" s="379">
        <v>63400</v>
      </c>
      <c r="I21" s="387"/>
      <c r="J21" s="388"/>
      <c r="K21" s="389"/>
      <c r="L21" s="384"/>
      <c r="M21" s="385"/>
      <c r="N21" s="386"/>
      <c r="O21" s="377"/>
    </row>
    <row r="22" spans="1:19" s="370" customFormat="1" ht="21" customHeight="1">
      <c r="A22" s="367">
        <v>2</v>
      </c>
      <c r="B22" s="390"/>
      <c r="C22" s="391"/>
      <c r="D22" s="392"/>
      <c r="E22" s="393">
        <f>+E33+E23</f>
        <v>15</v>
      </c>
      <c r="F22" s="393">
        <f>+F33+F23</f>
        <v>113</v>
      </c>
      <c r="G22" s="393">
        <f>+G33+G23</f>
        <v>466648.36754643201</v>
      </c>
      <c r="H22" s="393">
        <f>+H33+H23</f>
        <v>3271900</v>
      </c>
      <c r="I22" s="682"/>
      <c r="J22" s="683"/>
      <c r="K22" s="684"/>
      <c r="L22" s="685"/>
      <c r="M22" s="686"/>
      <c r="N22" s="687"/>
      <c r="O22" s="394"/>
      <c r="P22" s="290"/>
      <c r="Q22" s="290"/>
      <c r="R22" s="290"/>
      <c r="S22" s="290"/>
    </row>
    <row r="23" spans="1:19" s="370" customFormat="1" ht="24" customHeight="1">
      <c r="A23" s="371"/>
      <c r="B23" s="688" t="s">
        <v>403</v>
      </c>
      <c r="C23" s="689"/>
      <c r="D23" s="690"/>
      <c r="E23" s="372">
        <f>SUM(E24:E32)</f>
        <v>9</v>
      </c>
      <c r="F23" s="372">
        <f>SUM(F24:F32)</f>
        <v>55</v>
      </c>
      <c r="G23" s="372">
        <f>SUM(G24:G32)</f>
        <v>326966.96969697002</v>
      </c>
      <c r="H23" s="372">
        <f>SUM(H24:H32)</f>
        <v>1776350</v>
      </c>
      <c r="I23" s="688" t="s">
        <v>403</v>
      </c>
      <c r="J23" s="689"/>
      <c r="K23" s="690"/>
      <c r="L23" s="691"/>
      <c r="M23" s="692"/>
      <c r="N23" s="693"/>
      <c r="O23" s="394"/>
    </row>
    <row r="24" spans="1:19" s="290" customFormat="1" ht="150.75" customHeight="1">
      <c r="A24" s="373"/>
      <c r="B24" s="661" t="s">
        <v>417</v>
      </c>
      <c r="C24" s="662"/>
      <c r="D24" s="663"/>
      <c r="E24" s="374">
        <v>1</v>
      </c>
      <c r="F24" s="374">
        <v>8</v>
      </c>
      <c r="G24" s="375">
        <f>+SUM(H24/F24)</f>
        <v>21100</v>
      </c>
      <c r="H24" s="375">
        <v>168800</v>
      </c>
      <c r="I24" s="664" t="s">
        <v>404</v>
      </c>
      <c r="J24" s="665"/>
      <c r="K24" s="666"/>
      <c r="L24" s="673" t="s">
        <v>405</v>
      </c>
      <c r="M24" s="674"/>
      <c r="N24" s="675"/>
      <c r="O24" s="377">
        <v>8</v>
      </c>
    </row>
    <row r="25" spans="1:19" s="290" customFormat="1" ht="62.25" customHeight="1">
      <c r="A25" s="373"/>
      <c r="B25" s="661" t="s">
        <v>418</v>
      </c>
      <c r="C25" s="662"/>
      <c r="D25" s="663"/>
      <c r="E25" s="374">
        <v>1</v>
      </c>
      <c r="F25" s="374">
        <v>11</v>
      </c>
      <c r="G25" s="375">
        <f>+H25/F25</f>
        <v>11263.6363636364</v>
      </c>
      <c r="H25" s="375">
        <v>123900</v>
      </c>
      <c r="I25" s="667"/>
      <c r="J25" s="668"/>
      <c r="K25" s="669"/>
      <c r="L25" s="676"/>
      <c r="M25" s="677"/>
      <c r="N25" s="678"/>
      <c r="O25" s="377"/>
    </row>
    <row r="26" spans="1:19" s="290" customFormat="1" ht="42" customHeight="1">
      <c r="A26" s="373"/>
      <c r="B26" s="661" t="s">
        <v>419</v>
      </c>
      <c r="C26" s="662"/>
      <c r="D26" s="663"/>
      <c r="E26" s="374">
        <v>1</v>
      </c>
      <c r="F26" s="374">
        <v>3</v>
      </c>
      <c r="G26" s="375">
        <f>+H26/F26</f>
        <v>29566.666666666701</v>
      </c>
      <c r="H26" s="375">
        <v>88700</v>
      </c>
      <c r="I26" s="667"/>
      <c r="J26" s="668"/>
      <c r="K26" s="669"/>
      <c r="L26" s="676"/>
      <c r="M26" s="677"/>
      <c r="N26" s="678"/>
      <c r="O26" s="377"/>
    </row>
    <row r="27" spans="1:19" s="290" customFormat="1" ht="90" customHeight="1">
      <c r="A27" s="373"/>
      <c r="B27" s="694" t="s">
        <v>420</v>
      </c>
      <c r="C27" s="695"/>
      <c r="D27" s="696"/>
      <c r="E27" s="374">
        <v>1</v>
      </c>
      <c r="F27" s="374">
        <v>4</v>
      </c>
      <c r="G27" s="375">
        <f>+SUM(H27/F27)</f>
        <v>25700</v>
      </c>
      <c r="H27" s="375">
        <v>102800</v>
      </c>
      <c r="I27" s="667"/>
      <c r="J27" s="668"/>
      <c r="K27" s="669"/>
      <c r="L27" s="676"/>
      <c r="M27" s="677"/>
      <c r="N27" s="678"/>
      <c r="O27" s="377"/>
    </row>
    <row r="28" spans="1:19" s="290" customFormat="1" ht="87.75" customHeight="1">
      <c r="A28" s="373"/>
      <c r="B28" s="661" t="s">
        <v>421</v>
      </c>
      <c r="C28" s="662"/>
      <c r="D28" s="663"/>
      <c r="E28" s="374">
        <v>1</v>
      </c>
      <c r="F28" s="374">
        <v>5</v>
      </c>
      <c r="G28" s="375">
        <f>+H28/F28</f>
        <v>22320</v>
      </c>
      <c r="H28" s="375">
        <v>111600</v>
      </c>
      <c r="I28" s="667"/>
      <c r="J28" s="668"/>
      <c r="K28" s="669"/>
      <c r="L28" s="676"/>
      <c r="M28" s="677"/>
      <c r="N28" s="678"/>
      <c r="O28" s="377"/>
    </row>
    <row r="29" spans="1:19" s="290" customFormat="1" ht="44.25" customHeight="1">
      <c r="A29" s="373"/>
      <c r="B29" s="661" t="s">
        <v>422</v>
      </c>
      <c r="C29" s="662"/>
      <c r="D29" s="663"/>
      <c r="E29" s="374">
        <v>1</v>
      </c>
      <c r="F29" s="374">
        <v>5</v>
      </c>
      <c r="G29" s="375">
        <f>+H29/F29</f>
        <v>23130</v>
      </c>
      <c r="H29" s="375">
        <v>115650</v>
      </c>
      <c r="I29" s="667"/>
      <c r="J29" s="668"/>
      <c r="K29" s="669"/>
      <c r="L29" s="676"/>
      <c r="M29" s="677"/>
      <c r="N29" s="678"/>
      <c r="O29" s="377"/>
    </row>
    <row r="30" spans="1:19" s="290" customFormat="1" ht="84" customHeight="1">
      <c r="A30" s="373"/>
      <c r="B30" s="661" t="s">
        <v>423</v>
      </c>
      <c r="C30" s="662"/>
      <c r="D30" s="663"/>
      <c r="E30" s="374">
        <v>1</v>
      </c>
      <c r="F30" s="374">
        <v>5</v>
      </c>
      <c r="G30" s="375">
        <f>+SUM(H30/F30)</f>
        <v>80420</v>
      </c>
      <c r="H30" s="375">
        <v>402100</v>
      </c>
      <c r="I30" s="667"/>
      <c r="J30" s="668"/>
      <c r="K30" s="669"/>
      <c r="L30" s="676"/>
      <c r="M30" s="677"/>
      <c r="N30" s="678"/>
      <c r="O30" s="377"/>
    </row>
    <row r="31" spans="1:19" s="290" customFormat="1" ht="83.25" customHeight="1">
      <c r="A31" s="373"/>
      <c r="B31" s="661" t="s">
        <v>424</v>
      </c>
      <c r="C31" s="662"/>
      <c r="D31" s="663"/>
      <c r="E31" s="374">
        <v>1</v>
      </c>
      <c r="F31" s="374">
        <v>5</v>
      </c>
      <c r="G31" s="375">
        <f>+SUM(H31/F31)</f>
        <v>89600</v>
      </c>
      <c r="H31" s="375">
        <v>448000</v>
      </c>
      <c r="I31" s="667"/>
      <c r="J31" s="668"/>
      <c r="K31" s="669"/>
      <c r="L31" s="676"/>
      <c r="M31" s="677"/>
      <c r="N31" s="678"/>
      <c r="O31" s="377"/>
    </row>
    <row r="32" spans="1:19" s="290" customFormat="1" ht="129.75" customHeight="1">
      <c r="A32" s="373"/>
      <c r="B32" s="661" t="s">
        <v>425</v>
      </c>
      <c r="C32" s="662"/>
      <c r="D32" s="663"/>
      <c r="E32" s="374">
        <v>1</v>
      </c>
      <c r="F32" s="374">
        <v>9</v>
      </c>
      <c r="G32" s="375">
        <f>+H32/F32</f>
        <v>23866.666666666701</v>
      </c>
      <c r="H32" s="375">
        <v>214800</v>
      </c>
      <c r="I32" s="387"/>
      <c r="J32" s="388"/>
      <c r="K32" s="389"/>
      <c r="L32" s="395"/>
      <c r="M32" s="396"/>
      <c r="N32" s="397"/>
      <c r="O32" s="377"/>
    </row>
    <row r="33" spans="1:19" s="370" customFormat="1" ht="24.75" customHeight="1">
      <c r="A33" s="371"/>
      <c r="B33" s="655" t="s">
        <v>408</v>
      </c>
      <c r="C33" s="656"/>
      <c r="D33" s="657"/>
      <c r="E33" s="380">
        <f>SUM(E34:E39)</f>
        <v>6</v>
      </c>
      <c r="F33" s="380">
        <f>SUM(F34:F39)</f>
        <v>58</v>
      </c>
      <c r="G33" s="380">
        <f>SUM(G34:G39)</f>
        <v>139681.397849462</v>
      </c>
      <c r="H33" s="380">
        <f>SUM(H34:H39)</f>
        <v>1495550</v>
      </c>
      <c r="I33" s="655" t="s">
        <v>408</v>
      </c>
      <c r="J33" s="656"/>
      <c r="K33" s="657"/>
      <c r="L33" s="703"/>
      <c r="M33" s="704"/>
      <c r="N33" s="705"/>
      <c r="O33" s="394"/>
    </row>
    <row r="34" spans="1:19" s="290" customFormat="1" ht="84" customHeight="1">
      <c r="A34" s="373"/>
      <c r="B34" s="661" t="s">
        <v>426</v>
      </c>
      <c r="C34" s="662"/>
      <c r="D34" s="663"/>
      <c r="E34" s="374">
        <v>1</v>
      </c>
      <c r="F34" s="374">
        <v>6</v>
      </c>
      <c r="G34" s="375">
        <f t="shared" ref="G34:G39" si="1">+H34/F34</f>
        <v>30433.333333333299</v>
      </c>
      <c r="H34" s="375">
        <v>182600</v>
      </c>
      <c r="I34" s="664" t="s">
        <v>427</v>
      </c>
      <c r="J34" s="665"/>
      <c r="K34" s="666"/>
      <c r="L34" s="673" t="s">
        <v>411</v>
      </c>
      <c r="M34" s="674"/>
      <c r="N34" s="675"/>
      <c r="O34" s="377">
        <v>4</v>
      </c>
    </row>
    <row r="35" spans="1:19" s="290" customFormat="1" ht="44.25" customHeight="1">
      <c r="A35" s="373"/>
      <c r="B35" s="661" t="s">
        <v>428</v>
      </c>
      <c r="C35" s="662"/>
      <c r="D35" s="663"/>
      <c r="E35" s="374">
        <v>1</v>
      </c>
      <c r="F35" s="374">
        <v>5</v>
      </c>
      <c r="G35" s="375">
        <f t="shared" si="1"/>
        <v>21400</v>
      </c>
      <c r="H35" s="375">
        <v>107000</v>
      </c>
      <c r="I35" s="667"/>
      <c r="J35" s="668"/>
      <c r="K35" s="669"/>
      <c r="L35" s="676"/>
      <c r="M35" s="677"/>
      <c r="N35" s="678"/>
      <c r="O35" s="377">
        <v>7</v>
      </c>
    </row>
    <row r="36" spans="1:19" s="290" customFormat="1" ht="89.25" customHeight="1">
      <c r="A36" s="373"/>
      <c r="B36" s="661" t="s">
        <v>429</v>
      </c>
      <c r="C36" s="662"/>
      <c r="D36" s="663"/>
      <c r="E36" s="374">
        <v>1</v>
      </c>
      <c r="F36" s="374">
        <v>6</v>
      </c>
      <c r="G36" s="375">
        <f t="shared" si="1"/>
        <v>21600</v>
      </c>
      <c r="H36" s="375">
        <v>129600</v>
      </c>
      <c r="I36" s="667"/>
      <c r="J36" s="668"/>
      <c r="K36" s="669"/>
      <c r="L36" s="676"/>
      <c r="M36" s="677"/>
      <c r="N36" s="678"/>
      <c r="O36" s="377">
        <v>27</v>
      </c>
    </row>
    <row r="37" spans="1:19" s="290" customFormat="1" ht="86.25" customHeight="1">
      <c r="A37" s="373"/>
      <c r="B37" s="661" t="s">
        <v>430</v>
      </c>
      <c r="C37" s="662"/>
      <c r="D37" s="663"/>
      <c r="E37" s="374">
        <v>1</v>
      </c>
      <c r="F37" s="374">
        <v>31</v>
      </c>
      <c r="G37" s="375">
        <f t="shared" si="1"/>
        <v>28658.064516129001</v>
      </c>
      <c r="H37" s="375">
        <v>888400</v>
      </c>
      <c r="I37" s="387"/>
      <c r="J37" s="388"/>
      <c r="K37" s="388"/>
      <c r="L37" s="395"/>
      <c r="M37" s="396"/>
      <c r="N37" s="397"/>
      <c r="O37" s="377">
        <v>27</v>
      </c>
    </row>
    <row r="38" spans="1:19" s="290" customFormat="1" ht="127.5" customHeight="1">
      <c r="A38" s="373"/>
      <c r="B38" s="661" t="s">
        <v>431</v>
      </c>
      <c r="C38" s="662"/>
      <c r="D38" s="663"/>
      <c r="E38" s="374">
        <v>1</v>
      </c>
      <c r="F38" s="374">
        <v>5</v>
      </c>
      <c r="G38" s="375">
        <f t="shared" si="1"/>
        <v>20490</v>
      </c>
      <c r="H38" s="375">
        <v>102450</v>
      </c>
      <c r="I38" s="387"/>
      <c r="J38" s="388"/>
      <c r="K38" s="388"/>
      <c r="L38" s="395"/>
      <c r="M38" s="396"/>
      <c r="N38" s="397"/>
      <c r="O38" s="377">
        <v>27</v>
      </c>
    </row>
    <row r="39" spans="1:19" s="290" customFormat="1" ht="108" customHeight="1">
      <c r="A39" s="398"/>
      <c r="B39" s="661" t="s">
        <v>432</v>
      </c>
      <c r="C39" s="662"/>
      <c r="D39" s="663"/>
      <c r="E39" s="374">
        <v>1</v>
      </c>
      <c r="F39" s="374">
        <v>5</v>
      </c>
      <c r="G39" s="375">
        <f t="shared" si="1"/>
        <v>17100</v>
      </c>
      <c r="H39" s="375">
        <v>85500</v>
      </c>
      <c r="I39" s="399"/>
      <c r="J39" s="400"/>
      <c r="K39" s="400"/>
      <c r="L39" s="401"/>
      <c r="M39" s="402"/>
      <c r="N39" s="403"/>
      <c r="O39" s="377">
        <v>27</v>
      </c>
    </row>
    <row r="40" spans="1:19" s="370" customFormat="1" ht="21" customHeight="1">
      <c r="A40" s="367">
        <v>3</v>
      </c>
      <c r="B40" s="390"/>
      <c r="C40" s="391"/>
      <c r="D40" s="392"/>
      <c r="E40" s="404">
        <f>+E41+E51</f>
        <v>12</v>
      </c>
      <c r="F40" s="404">
        <f>+F41+F51</f>
        <v>59</v>
      </c>
      <c r="G40" s="393">
        <f>+G41+G51</f>
        <v>587685</v>
      </c>
      <c r="H40" s="393">
        <f>+H41+H51</f>
        <v>3062600</v>
      </c>
      <c r="I40" s="697"/>
      <c r="J40" s="698"/>
      <c r="K40" s="699"/>
      <c r="L40" s="700"/>
      <c r="M40" s="701"/>
      <c r="N40" s="702"/>
      <c r="O40" s="394"/>
      <c r="P40" s="290"/>
      <c r="Q40" s="290"/>
      <c r="R40" s="290"/>
      <c r="S40" s="290"/>
    </row>
    <row r="41" spans="1:19" s="370" customFormat="1" ht="24" customHeight="1">
      <c r="A41" s="371"/>
      <c r="B41" s="688" t="s">
        <v>403</v>
      </c>
      <c r="C41" s="689"/>
      <c r="D41" s="690"/>
      <c r="E41" s="380">
        <f>SUM(E42:E50)</f>
        <v>9</v>
      </c>
      <c r="F41" s="380">
        <f>SUM(F42:F50)</f>
        <v>45</v>
      </c>
      <c r="G41" s="372">
        <f>SUM(G42:G50)</f>
        <v>524675</v>
      </c>
      <c r="H41" s="372">
        <f>SUM(H42:H50)</f>
        <v>2770400</v>
      </c>
      <c r="I41" s="688" t="s">
        <v>403</v>
      </c>
      <c r="J41" s="689"/>
      <c r="K41" s="690"/>
      <c r="L41" s="691"/>
      <c r="M41" s="692"/>
      <c r="N41" s="693"/>
      <c r="O41" s="394"/>
    </row>
    <row r="42" spans="1:19" s="370" customFormat="1" ht="84.75" customHeight="1">
      <c r="A42" s="371"/>
      <c r="B42" s="661" t="s">
        <v>433</v>
      </c>
      <c r="C42" s="662"/>
      <c r="D42" s="663"/>
      <c r="E42" s="374">
        <v>1</v>
      </c>
      <c r="F42" s="374">
        <v>10</v>
      </c>
      <c r="G42" s="375">
        <f t="shared" ref="G42:G50" si="2">+SUM(H42/F42)</f>
        <v>86850</v>
      </c>
      <c r="H42" s="375">
        <v>868500</v>
      </c>
      <c r="I42" s="664" t="s">
        <v>404</v>
      </c>
      <c r="J42" s="665"/>
      <c r="K42" s="666"/>
      <c r="L42" s="673" t="s">
        <v>405</v>
      </c>
      <c r="M42" s="674"/>
      <c r="N42" s="675"/>
      <c r="O42" s="394"/>
    </row>
    <row r="43" spans="1:19" s="370" customFormat="1" ht="84.75" customHeight="1">
      <c r="A43" s="371"/>
      <c r="B43" s="661" t="s">
        <v>434</v>
      </c>
      <c r="C43" s="662"/>
      <c r="D43" s="663"/>
      <c r="E43" s="374">
        <v>1</v>
      </c>
      <c r="F43" s="374">
        <v>4</v>
      </c>
      <c r="G43" s="375">
        <f t="shared" si="2"/>
        <v>92700</v>
      </c>
      <c r="H43" s="375">
        <v>370800</v>
      </c>
      <c r="I43" s="667"/>
      <c r="J43" s="668"/>
      <c r="K43" s="669"/>
      <c r="L43" s="676"/>
      <c r="M43" s="677"/>
      <c r="N43" s="678"/>
      <c r="O43" s="394"/>
    </row>
    <row r="44" spans="1:19" s="370" customFormat="1" ht="65.25" customHeight="1">
      <c r="A44" s="371"/>
      <c r="B44" s="694" t="s">
        <v>435</v>
      </c>
      <c r="C44" s="695"/>
      <c r="D44" s="696"/>
      <c r="E44" s="374">
        <v>1</v>
      </c>
      <c r="F44" s="374">
        <v>5</v>
      </c>
      <c r="G44" s="375">
        <f t="shared" si="2"/>
        <v>45200</v>
      </c>
      <c r="H44" s="375">
        <v>226000</v>
      </c>
      <c r="I44" s="667"/>
      <c r="J44" s="668"/>
      <c r="K44" s="669"/>
      <c r="L44" s="676"/>
      <c r="M44" s="677"/>
      <c r="N44" s="678"/>
      <c r="O44" s="394"/>
    </row>
    <row r="45" spans="1:19" s="370" customFormat="1" ht="63" customHeight="1">
      <c r="A45" s="371"/>
      <c r="B45" s="694" t="s">
        <v>436</v>
      </c>
      <c r="C45" s="695"/>
      <c r="D45" s="696"/>
      <c r="E45" s="374">
        <v>1</v>
      </c>
      <c r="F45" s="374">
        <v>5</v>
      </c>
      <c r="G45" s="375">
        <f t="shared" si="2"/>
        <v>45200</v>
      </c>
      <c r="H45" s="375">
        <v>226000</v>
      </c>
      <c r="I45" s="667"/>
      <c r="J45" s="668"/>
      <c r="K45" s="669"/>
      <c r="L45" s="676"/>
      <c r="M45" s="677"/>
      <c r="N45" s="678"/>
      <c r="O45" s="394"/>
    </row>
    <row r="46" spans="1:19" s="370" customFormat="1" ht="62.25" customHeight="1">
      <c r="A46" s="371"/>
      <c r="B46" s="694" t="s">
        <v>437</v>
      </c>
      <c r="C46" s="695"/>
      <c r="D46" s="696"/>
      <c r="E46" s="374">
        <v>1</v>
      </c>
      <c r="F46" s="374">
        <v>5</v>
      </c>
      <c r="G46" s="375">
        <f t="shared" si="2"/>
        <v>45200</v>
      </c>
      <c r="H46" s="375">
        <v>226000</v>
      </c>
      <c r="I46" s="405"/>
      <c r="J46" s="406"/>
      <c r="K46" s="407"/>
      <c r="L46" s="384"/>
      <c r="M46" s="385"/>
      <c r="N46" s="386"/>
      <c r="O46" s="394"/>
    </row>
    <row r="47" spans="1:19" s="370" customFormat="1" ht="63" customHeight="1">
      <c r="A47" s="371"/>
      <c r="B47" s="694" t="s">
        <v>438</v>
      </c>
      <c r="C47" s="695"/>
      <c r="D47" s="696"/>
      <c r="E47" s="374">
        <v>1</v>
      </c>
      <c r="F47" s="374">
        <v>5</v>
      </c>
      <c r="G47" s="375">
        <f t="shared" si="2"/>
        <v>45200</v>
      </c>
      <c r="H47" s="375">
        <v>226000</v>
      </c>
      <c r="I47" s="405"/>
      <c r="J47" s="406"/>
      <c r="K47" s="407"/>
      <c r="L47" s="384"/>
      <c r="M47" s="385"/>
      <c r="N47" s="386"/>
      <c r="O47" s="394"/>
    </row>
    <row r="48" spans="1:19" s="370" customFormat="1" ht="150" customHeight="1">
      <c r="A48" s="371"/>
      <c r="B48" s="694" t="s">
        <v>439</v>
      </c>
      <c r="C48" s="695"/>
      <c r="D48" s="696"/>
      <c r="E48" s="374">
        <v>1</v>
      </c>
      <c r="F48" s="374">
        <v>3</v>
      </c>
      <c r="G48" s="375">
        <f t="shared" si="2"/>
        <v>30200</v>
      </c>
      <c r="H48" s="375">
        <v>90600</v>
      </c>
      <c r="I48" s="405"/>
      <c r="J48" s="406"/>
      <c r="K48" s="407"/>
      <c r="L48" s="384"/>
      <c r="M48" s="385"/>
      <c r="N48" s="386"/>
      <c r="O48" s="394"/>
    </row>
    <row r="49" spans="1:15" s="370" customFormat="1" ht="20.5">
      <c r="A49" s="371"/>
      <c r="B49" s="661" t="s">
        <v>440</v>
      </c>
      <c r="C49" s="662"/>
      <c r="D49" s="663"/>
      <c r="E49" s="374">
        <v>1</v>
      </c>
      <c r="F49" s="374">
        <v>4</v>
      </c>
      <c r="G49" s="375">
        <f t="shared" si="2"/>
        <v>71950</v>
      </c>
      <c r="H49" s="375">
        <v>287800</v>
      </c>
      <c r="I49" s="405"/>
      <c r="J49" s="406"/>
      <c r="K49" s="407"/>
      <c r="L49" s="384"/>
      <c r="M49" s="385"/>
      <c r="N49" s="386"/>
      <c r="O49" s="394"/>
    </row>
    <row r="50" spans="1:15" s="370" customFormat="1" ht="20.5">
      <c r="A50" s="371"/>
      <c r="B50" s="661" t="s">
        <v>441</v>
      </c>
      <c r="C50" s="662"/>
      <c r="D50" s="663"/>
      <c r="E50" s="374">
        <v>1</v>
      </c>
      <c r="F50" s="374">
        <v>4</v>
      </c>
      <c r="G50" s="375">
        <f t="shared" si="2"/>
        <v>62175</v>
      </c>
      <c r="H50" s="375">
        <v>248700</v>
      </c>
      <c r="I50" s="408"/>
      <c r="J50" s="409"/>
      <c r="K50" s="410"/>
      <c r="L50" s="411"/>
      <c r="M50" s="412"/>
      <c r="N50" s="413"/>
      <c r="O50" s="394"/>
    </row>
    <row r="51" spans="1:15" s="370" customFormat="1" ht="20.5">
      <c r="A51" s="371"/>
      <c r="B51" s="655" t="s">
        <v>408</v>
      </c>
      <c r="C51" s="656"/>
      <c r="D51" s="657"/>
      <c r="E51" s="380">
        <f>SUM(E52:E54)</f>
        <v>3</v>
      </c>
      <c r="F51" s="380">
        <f>SUM(F52:F54)</f>
        <v>14</v>
      </c>
      <c r="G51" s="414">
        <f>SUM(G52:G54)</f>
        <v>63010</v>
      </c>
      <c r="H51" s="414">
        <f>SUM(H52:H54)</f>
        <v>292200</v>
      </c>
      <c r="I51" s="655" t="s">
        <v>408</v>
      </c>
      <c r="J51" s="656"/>
      <c r="K51" s="657"/>
      <c r="L51" s="658"/>
      <c r="M51" s="659"/>
      <c r="N51" s="660"/>
      <c r="O51" s="394"/>
    </row>
    <row r="52" spans="1:15" s="290" customFormat="1" ht="23">
      <c r="A52" s="373"/>
      <c r="B52" s="661" t="s">
        <v>442</v>
      </c>
      <c r="C52" s="662"/>
      <c r="D52" s="663"/>
      <c r="E52" s="374">
        <v>1</v>
      </c>
      <c r="F52" s="374">
        <v>5</v>
      </c>
      <c r="G52" s="375">
        <f>+SUM(H52/F52)</f>
        <v>13660</v>
      </c>
      <c r="H52" s="375">
        <v>68300</v>
      </c>
      <c r="I52" s="664" t="s">
        <v>443</v>
      </c>
      <c r="J52" s="665"/>
      <c r="K52" s="666"/>
      <c r="L52" s="673" t="s">
        <v>411</v>
      </c>
      <c r="M52" s="674"/>
      <c r="N52" s="675"/>
      <c r="O52" s="377">
        <v>2</v>
      </c>
    </row>
    <row r="53" spans="1:15" s="290" customFormat="1" ht="23">
      <c r="A53" s="373"/>
      <c r="B53" s="661" t="s">
        <v>444</v>
      </c>
      <c r="C53" s="662"/>
      <c r="D53" s="663"/>
      <c r="E53" s="374">
        <v>1</v>
      </c>
      <c r="F53" s="374">
        <v>4</v>
      </c>
      <c r="G53" s="375">
        <f>+SUM(H53/F53)</f>
        <v>22850</v>
      </c>
      <c r="H53" s="375">
        <v>91400</v>
      </c>
      <c r="I53" s="667"/>
      <c r="J53" s="668"/>
      <c r="K53" s="669"/>
      <c r="L53" s="676"/>
      <c r="M53" s="677"/>
      <c r="N53" s="678"/>
      <c r="O53" s="377">
        <v>6</v>
      </c>
    </row>
    <row r="54" spans="1:15" s="290" customFormat="1" ht="23">
      <c r="A54" s="373"/>
      <c r="B54" s="661" t="s">
        <v>445</v>
      </c>
      <c r="C54" s="662"/>
      <c r="D54" s="663"/>
      <c r="E54" s="374">
        <v>1</v>
      </c>
      <c r="F54" s="374">
        <v>5</v>
      </c>
      <c r="G54" s="375">
        <f>+SUM(H54/F54)</f>
        <v>26500</v>
      </c>
      <c r="H54" s="375">
        <v>132500</v>
      </c>
      <c r="I54" s="667"/>
      <c r="J54" s="668"/>
      <c r="K54" s="669"/>
      <c r="L54" s="676"/>
      <c r="M54" s="677"/>
      <c r="N54" s="678"/>
      <c r="O54" s="377">
        <v>14</v>
      </c>
    </row>
    <row r="55" spans="1:15" s="370" customFormat="1" ht="20.5">
      <c r="A55" s="415">
        <v>4</v>
      </c>
      <c r="B55" s="390"/>
      <c r="C55" s="391"/>
      <c r="D55" s="392"/>
      <c r="E55" s="416">
        <f>+E56+E59</f>
        <v>6</v>
      </c>
      <c r="F55" s="416">
        <f>+F56+F59</f>
        <v>50</v>
      </c>
      <c r="G55" s="417">
        <f>+G56+G59</f>
        <v>259581.66666666701</v>
      </c>
      <c r="H55" s="368">
        <f>+H56+H59</f>
        <v>1846700</v>
      </c>
      <c r="I55" s="682"/>
      <c r="J55" s="683"/>
      <c r="K55" s="684"/>
      <c r="L55" s="685"/>
      <c r="M55" s="686"/>
      <c r="N55" s="687"/>
      <c r="O55" s="394"/>
    </row>
    <row r="56" spans="1:15" s="370" customFormat="1" ht="20.5">
      <c r="A56" s="371"/>
      <c r="B56" s="688" t="s">
        <v>403</v>
      </c>
      <c r="C56" s="689"/>
      <c r="D56" s="690"/>
      <c r="E56" s="380">
        <f>SUM(E57:E58)</f>
        <v>2</v>
      </c>
      <c r="F56" s="380">
        <f>SUM(F57:F58)</f>
        <v>15</v>
      </c>
      <c r="G56" s="418">
        <f>SUM(G57:G58)</f>
        <v>177966.66666666701</v>
      </c>
      <c r="H56" s="372">
        <f>SUM(H57:H58)</f>
        <v>1313100</v>
      </c>
      <c r="I56" s="688" t="s">
        <v>403</v>
      </c>
      <c r="J56" s="689"/>
      <c r="K56" s="690"/>
      <c r="L56" s="691"/>
      <c r="M56" s="692"/>
      <c r="N56" s="693"/>
      <c r="O56" s="394"/>
    </row>
    <row r="57" spans="1:15" s="290" customFormat="1" ht="23">
      <c r="A57" s="373"/>
      <c r="B57" s="661" t="s">
        <v>446</v>
      </c>
      <c r="C57" s="662"/>
      <c r="D57" s="663"/>
      <c r="E57" s="374">
        <v>1</v>
      </c>
      <c r="F57" s="374">
        <v>6</v>
      </c>
      <c r="G57" s="419">
        <f>+SUM(H57/F57)</f>
        <v>96200</v>
      </c>
      <c r="H57" s="419">
        <v>577200</v>
      </c>
      <c r="I57" s="664" t="s">
        <v>404</v>
      </c>
      <c r="J57" s="665"/>
      <c r="K57" s="666"/>
      <c r="L57" s="673" t="s">
        <v>447</v>
      </c>
      <c r="M57" s="674"/>
      <c r="N57" s="675"/>
      <c r="O57" s="377">
        <v>12</v>
      </c>
    </row>
    <row r="58" spans="1:15" s="290" customFormat="1" ht="23">
      <c r="A58" s="373"/>
      <c r="B58" s="661" t="s">
        <v>448</v>
      </c>
      <c r="C58" s="662"/>
      <c r="D58" s="663"/>
      <c r="E58" s="374">
        <v>1</v>
      </c>
      <c r="F58" s="374">
        <v>9</v>
      </c>
      <c r="G58" s="419">
        <f>+SUM(H58/F58)</f>
        <v>81766.666666666701</v>
      </c>
      <c r="H58" s="419">
        <v>735900</v>
      </c>
      <c r="I58" s="670"/>
      <c r="J58" s="671"/>
      <c r="K58" s="672"/>
      <c r="L58" s="679"/>
      <c r="M58" s="680"/>
      <c r="N58" s="681"/>
      <c r="O58" s="377">
        <v>12</v>
      </c>
    </row>
    <row r="59" spans="1:15" s="370" customFormat="1" ht="20.5">
      <c r="A59" s="371"/>
      <c r="B59" s="655" t="s">
        <v>408</v>
      </c>
      <c r="C59" s="656"/>
      <c r="D59" s="657"/>
      <c r="E59" s="380">
        <f>SUM(E60:E63)</f>
        <v>4</v>
      </c>
      <c r="F59" s="380">
        <f>SUM(F60:F63)</f>
        <v>35</v>
      </c>
      <c r="G59" s="414">
        <f>SUM(G60:G63)</f>
        <v>81615</v>
      </c>
      <c r="H59" s="414">
        <f>SUM(H60:H63)</f>
        <v>533600</v>
      </c>
      <c r="I59" s="655" t="s">
        <v>408</v>
      </c>
      <c r="J59" s="656"/>
      <c r="K59" s="657"/>
      <c r="L59" s="658"/>
      <c r="M59" s="659"/>
      <c r="N59" s="660"/>
      <c r="O59" s="394"/>
    </row>
    <row r="60" spans="1:15" s="290" customFormat="1" ht="23">
      <c r="A60" s="373"/>
      <c r="B60" s="661" t="s">
        <v>449</v>
      </c>
      <c r="C60" s="662"/>
      <c r="D60" s="663"/>
      <c r="E60" s="374">
        <v>1</v>
      </c>
      <c r="F60" s="374">
        <v>6</v>
      </c>
      <c r="G60" s="375">
        <f>+H60/F60</f>
        <v>17100</v>
      </c>
      <c r="H60" s="375">
        <v>102600</v>
      </c>
      <c r="I60" s="664" t="s">
        <v>443</v>
      </c>
      <c r="J60" s="665"/>
      <c r="K60" s="666"/>
      <c r="L60" s="673" t="s">
        <v>411</v>
      </c>
      <c r="M60" s="674"/>
      <c r="N60" s="675"/>
      <c r="O60" s="377">
        <v>19</v>
      </c>
    </row>
    <row r="61" spans="1:15" s="290" customFormat="1" ht="23">
      <c r="A61" s="373"/>
      <c r="B61" s="661" t="s">
        <v>450</v>
      </c>
      <c r="C61" s="662"/>
      <c r="D61" s="663"/>
      <c r="E61" s="374">
        <v>1</v>
      </c>
      <c r="F61" s="374">
        <v>5</v>
      </c>
      <c r="G61" s="375">
        <f>+H61/F61</f>
        <v>23100</v>
      </c>
      <c r="H61" s="375">
        <v>115500</v>
      </c>
      <c r="I61" s="667"/>
      <c r="J61" s="668"/>
      <c r="K61" s="669"/>
      <c r="L61" s="676"/>
      <c r="M61" s="677"/>
      <c r="N61" s="678"/>
      <c r="O61" s="377">
        <v>20</v>
      </c>
    </row>
    <row r="62" spans="1:15" s="290" customFormat="1" ht="23">
      <c r="A62" s="373"/>
      <c r="B62" s="661" t="s">
        <v>451</v>
      </c>
      <c r="C62" s="662"/>
      <c r="D62" s="663"/>
      <c r="E62" s="374">
        <v>1</v>
      </c>
      <c r="F62" s="374">
        <v>4</v>
      </c>
      <c r="G62" s="375">
        <f>+H62/F62</f>
        <v>32050</v>
      </c>
      <c r="H62" s="375">
        <v>128200</v>
      </c>
      <c r="I62" s="667"/>
      <c r="J62" s="668"/>
      <c r="K62" s="669"/>
      <c r="L62" s="676"/>
      <c r="M62" s="677"/>
      <c r="N62" s="678"/>
      <c r="O62" s="377">
        <v>24</v>
      </c>
    </row>
    <row r="63" spans="1:15" s="290" customFormat="1" ht="23">
      <c r="A63" s="398"/>
      <c r="B63" s="661" t="s">
        <v>452</v>
      </c>
      <c r="C63" s="662"/>
      <c r="D63" s="663"/>
      <c r="E63" s="374">
        <v>1</v>
      </c>
      <c r="F63" s="374">
        <v>20</v>
      </c>
      <c r="G63" s="375">
        <f>+H63/F63</f>
        <v>9365</v>
      </c>
      <c r="H63" s="375">
        <v>187300</v>
      </c>
      <c r="I63" s="670"/>
      <c r="J63" s="671"/>
      <c r="K63" s="672"/>
      <c r="L63" s="679"/>
      <c r="M63" s="680"/>
      <c r="N63" s="681"/>
      <c r="O63" s="377">
        <v>28</v>
      </c>
    </row>
    <row r="64" spans="1:15" s="424" customFormat="1" ht="20.5">
      <c r="A64" s="420"/>
      <c r="B64" s="421" t="s">
        <v>144</v>
      </c>
      <c r="C64" s="421"/>
      <c r="D64" s="422"/>
      <c r="E64" s="423">
        <f>+E10+E22+E40+E55</f>
        <v>42</v>
      </c>
      <c r="F64" s="423">
        <f>+F10+F22+F40+F55</f>
        <v>267</v>
      </c>
      <c r="G64" s="423">
        <f>+G10+G22+G40+G55</f>
        <v>1633115.0342131001</v>
      </c>
      <c r="H64" s="423">
        <f>+H10+H22+H40+H55</f>
        <v>9801300</v>
      </c>
      <c r="I64" s="652"/>
      <c r="J64" s="653"/>
      <c r="K64" s="654"/>
      <c r="L64" s="652"/>
      <c r="M64" s="653"/>
      <c r="N64" s="654"/>
      <c r="O64" s="394"/>
    </row>
    <row r="65" spans="1:15" s="290" customFormat="1" ht="23">
      <c r="A65" s="425"/>
      <c r="G65" s="426"/>
      <c r="H65" s="426"/>
      <c r="O65" s="366"/>
    </row>
    <row r="66" spans="1:15" s="290" customFormat="1" ht="23">
      <c r="A66" s="425"/>
      <c r="G66" s="426"/>
      <c r="H66" s="426"/>
      <c r="O66" s="366"/>
    </row>
    <row r="67" spans="1:15" s="290" customFormat="1" ht="23">
      <c r="A67" s="425"/>
      <c r="O67" s="366"/>
    </row>
    <row r="68" spans="1:15" s="290" customFormat="1" ht="23">
      <c r="A68" s="425"/>
      <c r="H68" s="426"/>
      <c r="O68" s="366"/>
    </row>
    <row r="69" spans="1:15" s="290" customFormat="1" ht="23">
      <c r="A69" s="425"/>
      <c r="H69" s="426"/>
      <c r="O69" s="366"/>
    </row>
    <row r="70" spans="1:15" s="290" customFormat="1" ht="23">
      <c r="A70" s="425"/>
      <c r="O70" s="366"/>
    </row>
    <row r="71" spans="1:15" s="290" customFormat="1" ht="23">
      <c r="A71" s="425"/>
      <c r="O71" s="366"/>
    </row>
    <row r="72" spans="1:15" s="290" customFormat="1" ht="23">
      <c r="A72" s="425"/>
      <c r="O72" s="366"/>
    </row>
    <row r="73" spans="1:15" s="290" customFormat="1" ht="23">
      <c r="A73" s="425"/>
      <c r="O73" s="366"/>
    </row>
    <row r="74" spans="1:15" s="290" customFormat="1" ht="23">
      <c r="A74" s="425"/>
      <c r="O74" s="366"/>
    </row>
    <row r="75" spans="1:15" s="290" customFormat="1" ht="23">
      <c r="A75" s="425"/>
      <c r="O75" s="366"/>
    </row>
    <row r="76" spans="1:15" s="290" customFormat="1" ht="23">
      <c r="A76" s="425"/>
      <c r="O76" s="366"/>
    </row>
    <row r="77" spans="1:15" s="290" customFormat="1" ht="23">
      <c r="A77" s="425"/>
      <c r="O77" s="366"/>
    </row>
    <row r="78" spans="1:15" s="290" customFormat="1" ht="23">
      <c r="A78" s="425"/>
      <c r="O78" s="366"/>
    </row>
    <row r="79" spans="1:15" s="290" customFormat="1" ht="23">
      <c r="A79" s="425"/>
      <c r="O79" s="366"/>
    </row>
    <row r="80" spans="1:15" s="290" customFormat="1" ht="23">
      <c r="A80" s="425"/>
      <c r="O80" s="366"/>
    </row>
    <row r="81" spans="1:15" s="290" customFormat="1" ht="23">
      <c r="A81" s="425"/>
      <c r="O81" s="366"/>
    </row>
    <row r="82" spans="1:15" s="290" customFormat="1" ht="23">
      <c r="A82" s="425"/>
      <c r="O82" s="366"/>
    </row>
    <row r="83" spans="1:15" ht="23">
      <c r="O83" s="366"/>
    </row>
    <row r="84" spans="1:15" ht="23">
      <c r="O84" s="366"/>
    </row>
    <row r="85" spans="1:15" ht="23">
      <c r="O85" s="366"/>
    </row>
    <row r="86" spans="1:15" ht="23">
      <c r="O86" s="366"/>
    </row>
  </sheetData>
  <mergeCells count="107">
    <mergeCell ref="E5:F5"/>
    <mergeCell ref="E6:F6"/>
    <mergeCell ref="E7:F7"/>
    <mergeCell ref="L7:M7"/>
    <mergeCell ref="M8:N8"/>
    <mergeCell ref="B9:D9"/>
    <mergeCell ref="I9:K9"/>
    <mergeCell ref="L9:N9"/>
    <mergeCell ref="A1:N2"/>
    <mergeCell ref="A3:B3"/>
    <mergeCell ref="C3:G3"/>
    <mergeCell ref="A4:B4"/>
    <mergeCell ref="C4:D4"/>
    <mergeCell ref="E4:F4"/>
    <mergeCell ref="L4:M4"/>
    <mergeCell ref="B12:D12"/>
    <mergeCell ref="I12:K14"/>
    <mergeCell ref="L12:N14"/>
    <mergeCell ref="B13:D13"/>
    <mergeCell ref="B14:D14"/>
    <mergeCell ref="B15:D15"/>
    <mergeCell ref="I15:K15"/>
    <mergeCell ref="B10:D10"/>
    <mergeCell ref="I10:K10"/>
    <mergeCell ref="L10:N10"/>
    <mergeCell ref="B11:D11"/>
    <mergeCell ref="I11:K11"/>
    <mergeCell ref="L11:N11"/>
    <mergeCell ref="B21:D21"/>
    <mergeCell ref="I22:K22"/>
    <mergeCell ref="L22:N22"/>
    <mergeCell ref="B23:D23"/>
    <mergeCell ref="I23:K23"/>
    <mergeCell ref="L23:N23"/>
    <mergeCell ref="B16:D16"/>
    <mergeCell ref="I16:K20"/>
    <mergeCell ref="L16:N19"/>
    <mergeCell ref="B17:D17"/>
    <mergeCell ref="B18:D18"/>
    <mergeCell ref="B19:D19"/>
    <mergeCell ref="B20:D20"/>
    <mergeCell ref="B24:D24"/>
    <mergeCell ref="I24:K31"/>
    <mergeCell ref="L24:N3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I33:K33"/>
    <mergeCell ref="L33:N33"/>
    <mergeCell ref="B34:D34"/>
    <mergeCell ref="I34:K36"/>
    <mergeCell ref="L34:N36"/>
    <mergeCell ref="B35:D35"/>
    <mergeCell ref="B36:D36"/>
    <mergeCell ref="B42:D42"/>
    <mergeCell ref="I42:K45"/>
    <mergeCell ref="L42:N45"/>
    <mergeCell ref="B43:D43"/>
    <mergeCell ref="B44:D44"/>
    <mergeCell ref="B45:D45"/>
    <mergeCell ref="B37:D37"/>
    <mergeCell ref="B38:D38"/>
    <mergeCell ref="B39:D39"/>
    <mergeCell ref="I40:K40"/>
    <mergeCell ref="L40:N40"/>
    <mergeCell ref="B41:D41"/>
    <mergeCell ref="I41:K41"/>
    <mergeCell ref="L41:N41"/>
    <mergeCell ref="I51:K51"/>
    <mergeCell ref="L51:N51"/>
    <mergeCell ref="B52:D52"/>
    <mergeCell ref="I52:K54"/>
    <mergeCell ref="L52:N54"/>
    <mergeCell ref="B53:D53"/>
    <mergeCell ref="B54:D54"/>
    <mergeCell ref="B46:D46"/>
    <mergeCell ref="B47:D47"/>
    <mergeCell ref="B48:D48"/>
    <mergeCell ref="B49:D49"/>
    <mergeCell ref="B50:D50"/>
    <mergeCell ref="B51:D51"/>
    <mergeCell ref="I55:K55"/>
    <mergeCell ref="L55:N55"/>
    <mergeCell ref="B56:D56"/>
    <mergeCell ref="I56:K56"/>
    <mergeCell ref="L56:N56"/>
    <mergeCell ref="B57:D57"/>
    <mergeCell ref="I57:K58"/>
    <mergeCell ref="L57:N58"/>
    <mergeCell ref="B58:D58"/>
    <mergeCell ref="I64:K64"/>
    <mergeCell ref="L64:N64"/>
    <mergeCell ref="B59:D59"/>
    <mergeCell ref="I59:K59"/>
    <mergeCell ref="L59:N59"/>
    <mergeCell ref="B60:D60"/>
    <mergeCell ref="I60:K63"/>
    <mergeCell ref="L60:N63"/>
    <mergeCell ref="B61:D61"/>
    <mergeCell ref="B62:D62"/>
    <mergeCell ref="B63:D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S443"/>
  <sheetViews>
    <sheetView workbookViewId="0">
      <selection activeCell="I8" sqref="I8"/>
    </sheetView>
  </sheetViews>
  <sheetFormatPr defaultColWidth="9" defaultRowHeight="14.5"/>
  <cols>
    <col min="1" max="1" width="5.5" style="99" customWidth="1"/>
    <col min="2" max="2" width="27.58203125" style="99" customWidth="1"/>
    <col min="3" max="3" width="6.58203125" style="185" customWidth="1"/>
    <col min="4" max="5" width="6.25" style="99" customWidth="1"/>
    <col min="6" max="6" width="5.58203125" style="99" customWidth="1"/>
    <col min="7" max="7" width="6.25" style="99" customWidth="1"/>
    <col min="8" max="9" width="3.58203125" style="99" customWidth="1"/>
    <col min="10" max="10" width="7.83203125" style="99" customWidth="1"/>
    <col min="11" max="11" width="7.58203125" style="99" customWidth="1"/>
    <col min="12" max="12" width="6" style="99" customWidth="1"/>
    <col min="13" max="13" width="6.83203125" style="99" customWidth="1"/>
    <col min="14" max="14" width="9.25" style="348" customWidth="1"/>
    <col min="15" max="15" width="9" style="99" customWidth="1"/>
    <col min="16" max="16" width="41.58203125" style="99" customWidth="1"/>
    <col min="17" max="17" width="8.75" style="99" customWidth="1"/>
    <col min="18" max="18" width="9" style="99" customWidth="1"/>
    <col min="19" max="16384" width="9" style="99"/>
  </cols>
  <sheetData>
    <row r="1" spans="1:45" ht="20.5">
      <c r="B1" s="642" t="s">
        <v>317</v>
      </c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</row>
    <row r="2" spans="1:45" ht="18">
      <c r="A2" s="296" t="s">
        <v>152</v>
      </c>
      <c r="C2" s="108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297"/>
      <c r="O2" s="109"/>
      <c r="P2" s="109"/>
    </row>
    <row r="3" spans="1:45" ht="18">
      <c r="A3" s="296" t="s">
        <v>153</v>
      </c>
      <c r="C3" s="108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297"/>
      <c r="O3" s="109"/>
      <c r="P3" s="110" t="s">
        <v>154</v>
      </c>
    </row>
    <row r="4" spans="1:45" ht="18.75" customHeight="1">
      <c r="A4" s="746" t="s">
        <v>318</v>
      </c>
      <c r="B4" s="746" t="s">
        <v>319</v>
      </c>
      <c r="C4" s="643" t="s">
        <v>182</v>
      </c>
      <c r="D4" s="644"/>
      <c r="E4" s="643" t="s">
        <v>156</v>
      </c>
      <c r="F4" s="644"/>
      <c r="G4" s="643" t="s">
        <v>183</v>
      </c>
      <c r="H4" s="645"/>
      <c r="I4" s="645"/>
      <c r="J4" s="645"/>
      <c r="K4" s="645"/>
      <c r="L4" s="748" t="s">
        <v>320</v>
      </c>
      <c r="M4" s="750" t="s">
        <v>321</v>
      </c>
      <c r="N4" s="752" t="s">
        <v>322</v>
      </c>
      <c r="O4" s="200" t="s">
        <v>158</v>
      </c>
      <c r="P4" s="201" t="s">
        <v>323</v>
      </c>
    </row>
    <row r="5" spans="1:45" ht="41.25" customHeight="1">
      <c r="A5" s="747"/>
      <c r="B5" s="747"/>
      <c r="C5" s="298" t="s">
        <v>161</v>
      </c>
      <c r="D5" s="299" t="s">
        <v>162</v>
      </c>
      <c r="E5" s="299" t="s">
        <v>161</v>
      </c>
      <c r="F5" s="299" t="s">
        <v>162</v>
      </c>
      <c r="G5" s="299" t="s">
        <v>163</v>
      </c>
      <c r="H5" s="299" t="s">
        <v>164</v>
      </c>
      <c r="I5" s="299" t="s">
        <v>95</v>
      </c>
      <c r="J5" s="300" t="s">
        <v>165</v>
      </c>
      <c r="K5" s="301" t="s">
        <v>166</v>
      </c>
      <c r="L5" s="749"/>
      <c r="M5" s="751"/>
      <c r="N5" s="753"/>
      <c r="O5" s="202" t="s">
        <v>168</v>
      </c>
      <c r="P5" s="204"/>
    </row>
    <row r="6" spans="1:45" s="217" customFormat="1" ht="21" thickBot="1">
      <c r="A6" s="211"/>
      <c r="B6" s="211" t="s">
        <v>144</v>
      </c>
      <c r="C6" s="302">
        <v>6.165</v>
      </c>
      <c r="D6" s="213"/>
      <c r="E6" s="302">
        <v>6.165</v>
      </c>
      <c r="F6" s="213"/>
      <c r="G6" s="213"/>
      <c r="H6" s="214"/>
      <c r="I6" s="213"/>
      <c r="J6" s="215"/>
      <c r="K6" s="213">
        <f>+K7+K129</f>
        <v>9.8012999999999995</v>
      </c>
      <c r="L6" s="216"/>
      <c r="M6" s="213">
        <f>+K6-L6</f>
        <v>9.8012999999999995</v>
      </c>
      <c r="N6" s="303"/>
      <c r="O6" s="213"/>
      <c r="P6" s="213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</row>
    <row r="7" spans="1:45" ht="54.5" thickTop="1">
      <c r="A7" s="232"/>
      <c r="B7" s="232" t="s">
        <v>324</v>
      </c>
      <c r="C7" s="186">
        <f>+C8</f>
        <v>1.0125</v>
      </c>
      <c r="D7" s="186">
        <f>+D8</f>
        <v>0.85173701000000002</v>
      </c>
      <c r="E7" s="186">
        <f>+E8</f>
        <v>0.89500000000000002</v>
      </c>
      <c r="F7" s="186">
        <f>+F8</f>
        <v>0.69737821600000005</v>
      </c>
      <c r="G7" s="188"/>
      <c r="H7" s="189"/>
      <c r="I7" s="188"/>
      <c r="J7" s="189"/>
      <c r="K7" s="228">
        <f>+K8</f>
        <v>2.4256000000000002</v>
      </c>
      <c r="L7" s="228">
        <f>+L8</f>
        <v>0</v>
      </c>
      <c r="M7" s="228">
        <f>+M8</f>
        <v>2.4256000000000002</v>
      </c>
      <c r="N7" s="304"/>
      <c r="O7" s="188"/>
      <c r="P7" s="188"/>
    </row>
    <row r="8" spans="1:45" ht="108">
      <c r="A8" s="223"/>
      <c r="B8" s="223" t="s">
        <v>325</v>
      </c>
      <c r="C8" s="229">
        <f>+C10+C20+C30+C39+C49+C59+C68+C78+C88+C99+C109+C119</f>
        <v>1.0125</v>
      </c>
      <c r="D8" s="229">
        <f>+D10+D20+D30+D39+D49+D59+D68+D78+D88+D99+D109+D119</f>
        <v>0.85173701000000002</v>
      </c>
      <c r="E8" s="229">
        <f>+E10+E20+E30+E39+E49+E59+E68+E78+E88+E99+E109+E119</f>
        <v>0.89500000000000002</v>
      </c>
      <c r="F8" s="229">
        <f>+F10+F20+F30+F39+F49+F59+F68+F78+F88+F99+F109+F119</f>
        <v>0.69737821600000005</v>
      </c>
      <c r="G8" s="191"/>
      <c r="H8" s="192"/>
      <c r="I8" s="191"/>
      <c r="J8" s="192"/>
      <c r="K8" s="229">
        <f>+K10+K20+K30+K39+K49+K59+K68+K78+K88+K99+K109+K119</f>
        <v>2.4256000000000002</v>
      </c>
      <c r="L8" s="229">
        <f>+L10+L20+L30+L39+L49+L59+L68+L78+L88+L99+L109+L119</f>
        <v>0</v>
      </c>
      <c r="M8" s="229">
        <f>+M10+M20+M30+M39+M49+M59+M68+M78+M88+M99+M109+M119</f>
        <v>2.4256000000000002</v>
      </c>
      <c r="N8" s="305"/>
      <c r="O8" s="208"/>
      <c r="P8" s="191"/>
    </row>
    <row r="9" spans="1:45" ht="18">
      <c r="A9" s="230"/>
      <c r="B9" s="230" t="s">
        <v>170</v>
      </c>
      <c r="C9" s="115"/>
      <c r="D9" s="113"/>
      <c r="E9" s="113"/>
      <c r="F9" s="113"/>
      <c r="G9" s="113"/>
      <c r="H9" s="114"/>
      <c r="I9" s="113"/>
      <c r="J9" s="114"/>
      <c r="K9" s="113"/>
      <c r="L9" s="114"/>
      <c r="M9" s="113"/>
      <c r="N9" s="306"/>
      <c r="O9" s="113"/>
      <c r="P9" s="113"/>
    </row>
    <row r="10" spans="1:45" ht="54" customHeight="1">
      <c r="A10" s="199"/>
      <c r="B10" s="199" t="s">
        <v>171</v>
      </c>
      <c r="C10" s="255">
        <v>4.8300000000000003E-2</v>
      </c>
      <c r="D10" s="235">
        <v>2.6034999999999999E-2</v>
      </c>
      <c r="E10" s="235">
        <v>9.1600000000000001E-2</v>
      </c>
      <c r="F10" s="235">
        <v>7.4801659999999999E-3</v>
      </c>
      <c r="G10" s="256">
        <v>1</v>
      </c>
      <c r="H10" s="256">
        <v>2</v>
      </c>
      <c r="I10" s="256">
        <v>4</v>
      </c>
      <c r="J10" s="239"/>
      <c r="K10" s="239">
        <f>+SUM(K11:K19)</f>
        <v>0.11</v>
      </c>
      <c r="L10" s="307">
        <f>+SUM(L11:L19)</f>
        <v>0</v>
      </c>
      <c r="M10" s="307">
        <f>+K10-L10</f>
        <v>0.11</v>
      </c>
      <c r="N10" s="736" t="s">
        <v>336</v>
      </c>
      <c r="O10" s="612" t="s">
        <v>345</v>
      </c>
      <c r="P10" s="619" t="s">
        <v>236</v>
      </c>
    </row>
    <row r="11" spans="1:45" ht="15.5">
      <c r="A11" s="102"/>
      <c r="B11" s="102" t="s">
        <v>172</v>
      </c>
      <c r="C11" s="116"/>
      <c r="D11" s="85"/>
      <c r="E11" s="85"/>
      <c r="F11" s="85"/>
      <c r="G11" s="86">
        <v>1</v>
      </c>
      <c r="H11" s="87">
        <v>2</v>
      </c>
      <c r="I11" s="86">
        <v>4</v>
      </c>
      <c r="J11" s="88">
        <v>3.0999999999999999E-3</v>
      </c>
      <c r="K11" s="89">
        <f t="shared" ref="K11:K19" si="0">+J11*I11*H11*G11</f>
        <v>2.4799999999999999E-2</v>
      </c>
      <c r="L11" s="308"/>
      <c r="M11" s="309"/>
      <c r="N11" s="737"/>
      <c r="O11" s="613"/>
      <c r="P11" s="619"/>
    </row>
    <row r="12" spans="1:45" ht="15.5">
      <c r="A12" s="85"/>
      <c r="B12" s="85" t="s">
        <v>173</v>
      </c>
      <c r="C12" s="116"/>
      <c r="D12" s="85"/>
      <c r="E12" s="85"/>
      <c r="F12" s="85"/>
      <c r="G12" s="89">
        <v>0</v>
      </c>
      <c r="H12" s="89">
        <v>0</v>
      </c>
      <c r="I12" s="89">
        <v>0</v>
      </c>
      <c r="J12" s="88">
        <v>0</v>
      </c>
      <c r="K12" s="89">
        <f t="shared" si="0"/>
        <v>0</v>
      </c>
      <c r="L12" s="308"/>
      <c r="M12" s="309"/>
      <c r="N12" s="737"/>
      <c r="O12" s="613"/>
      <c r="P12" s="619"/>
    </row>
    <row r="13" spans="1:45" ht="15.5">
      <c r="A13" s="85"/>
      <c r="B13" s="85" t="s">
        <v>174</v>
      </c>
      <c r="C13" s="116"/>
      <c r="D13" s="85"/>
      <c r="E13" s="85"/>
      <c r="F13" s="85"/>
      <c r="G13" s="86">
        <v>1</v>
      </c>
      <c r="H13" s="87">
        <v>2</v>
      </c>
      <c r="I13" s="86">
        <v>3</v>
      </c>
      <c r="J13" s="88">
        <v>7.0000000000000001E-3</v>
      </c>
      <c r="K13" s="89">
        <f t="shared" si="0"/>
        <v>4.2000000000000003E-2</v>
      </c>
      <c r="L13" s="308"/>
      <c r="M13" s="309"/>
      <c r="N13" s="737"/>
      <c r="O13" s="613"/>
      <c r="P13" s="619"/>
    </row>
    <row r="14" spans="1:45" ht="15.5">
      <c r="A14" s="85"/>
      <c r="B14" s="85" t="s">
        <v>175</v>
      </c>
      <c r="C14" s="116"/>
      <c r="D14" s="85"/>
      <c r="E14" s="85"/>
      <c r="F14" s="85"/>
      <c r="G14" s="89">
        <v>0</v>
      </c>
      <c r="H14" s="89">
        <v>0</v>
      </c>
      <c r="I14" s="89">
        <v>0</v>
      </c>
      <c r="J14" s="88">
        <v>0</v>
      </c>
      <c r="K14" s="89">
        <f t="shared" si="0"/>
        <v>0</v>
      </c>
      <c r="L14" s="308"/>
      <c r="M14" s="309"/>
      <c r="N14" s="737"/>
      <c r="O14" s="613"/>
      <c r="P14" s="619"/>
    </row>
    <row r="15" spans="1:45" ht="15.5">
      <c r="A15" s="117"/>
      <c r="B15" s="117" t="s">
        <v>184</v>
      </c>
      <c r="C15" s="116"/>
      <c r="D15" s="85"/>
      <c r="E15" s="85"/>
      <c r="F15" s="85"/>
      <c r="G15" s="86">
        <v>1</v>
      </c>
      <c r="H15" s="87">
        <v>2</v>
      </c>
      <c r="I15" s="86">
        <v>1</v>
      </c>
      <c r="J15" s="88">
        <f>0.017</f>
        <v>1.7000000000000001E-2</v>
      </c>
      <c r="K15" s="89">
        <f t="shared" si="0"/>
        <v>3.4000000000000002E-2</v>
      </c>
      <c r="L15" s="308"/>
      <c r="M15" s="309"/>
      <c r="N15" s="737"/>
      <c r="O15" s="613"/>
      <c r="P15" s="619"/>
    </row>
    <row r="16" spans="1:45" ht="15.5">
      <c r="A16" s="85"/>
      <c r="B16" s="85" t="s">
        <v>176</v>
      </c>
      <c r="C16" s="116"/>
      <c r="D16" s="85"/>
      <c r="E16" s="85"/>
      <c r="F16" s="85"/>
      <c r="G16" s="89">
        <v>0</v>
      </c>
      <c r="H16" s="89">
        <v>0</v>
      </c>
      <c r="I16" s="89">
        <v>0</v>
      </c>
      <c r="J16" s="88">
        <v>0</v>
      </c>
      <c r="K16" s="89">
        <f t="shared" si="0"/>
        <v>0</v>
      </c>
      <c r="L16" s="308"/>
      <c r="M16" s="309"/>
      <c r="N16" s="737"/>
      <c r="O16" s="613"/>
      <c r="P16" s="619"/>
    </row>
    <row r="17" spans="1:16" ht="15.5">
      <c r="A17" s="85"/>
      <c r="B17" s="85" t="s">
        <v>177</v>
      </c>
      <c r="C17" s="116"/>
      <c r="D17" s="85"/>
      <c r="E17" s="85"/>
      <c r="F17" s="85"/>
      <c r="G17" s="89">
        <v>0</v>
      </c>
      <c r="H17" s="89">
        <v>0</v>
      </c>
      <c r="I17" s="89">
        <v>0</v>
      </c>
      <c r="J17" s="88">
        <v>0</v>
      </c>
      <c r="K17" s="89">
        <f t="shared" si="0"/>
        <v>0</v>
      </c>
      <c r="L17" s="308"/>
      <c r="M17" s="309"/>
      <c r="N17" s="737"/>
      <c r="O17" s="613"/>
      <c r="P17" s="619"/>
    </row>
    <row r="18" spans="1:16" ht="15.5">
      <c r="A18" s="85"/>
      <c r="B18" s="85" t="s">
        <v>178</v>
      </c>
      <c r="C18" s="116"/>
      <c r="D18" s="85"/>
      <c r="E18" s="85"/>
      <c r="F18" s="85"/>
      <c r="G18" s="89">
        <v>0</v>
      </c>
      <c r="H18" s="89">
        <v>0</v>
      </c>
      <c r="I18" s="89">
        <v>0</v>
      </c>
      <c r="J18" s="88">
        <v>0</v>
      </c>
      <c r="K18" s="89">
        <f t="shared" si="0"/>
        <v>0</v>
      </c>
      <c r="L18" s="308"/>
      <c r="M18" s="309"/>
      <c r="N18" s="737"/>
      <c r="O18" s="613"/>
      <c r="P18" s="619"/>
    </row>
    <row r="19" spans="1:16" ht="15.5">
      <c r="A19" s="103"/>
      <c r="B19" s="103" t="s">
        <v>179</v>
      </c>
      <c r="C19" s="118"/>
      <c r="D19" s="104"/>
      <c r="E19" s="104"/>
      <c r="F19" s="104"/>
      <c r="G19" s="119">
        <v>1</v>
      </c>
      <c r="H19" s="120">
        <v>2</v>
      </c>
      <c r="I19" s="119">
        <v>4</v>
      </c>
      <c r="J19" s="121">
        <v>1.15E-3</v>
      </c>
      <c r="K19" s="122">
        <f t="shared" si="0"/>
        <v>9.1999999999999998E-3</v>
      </c>
      <c r="L19" s="310"/>
      <c r="M19" s="311"/>
      <c r="N19" s="738"/>
      <c r="O19" s="614"/>
      <c r="P19" s="620"/>
    </row>
    <row r="20" spans="1:16" ht="46.5">
      <c r="A20" s="254"/>
      <c r="B20" s="254" t="s">
        <v>326</v>
      </c>
      <c r="C20" s="233">
        <v>0.1</v>
      </c>
      <c r="D20" s="233">
        <v>4.7572009999999998E-2</v>
      </c>
      <c r="E20" s="234">
        <v>0.16</v>
      </c>
      <c r="F20" s="235">
        <v>0.15865004999999999</v>
      </c>
      <c r="G20" s="236">
        <v>2</v>
      </c>
      <c r="H20" s="237">
        <v>3</v>
      </c>
      <c r="I20" s="236">
        <v>3</v>
      </c>
      <c r="J20" s="238"/>
      <c r="K20" s="239">
        <f>+SUM(K21:K29)</f>
        <v>0.18260000000000001</v>
      </c>
      <c r="L20" s="307">
        <f>+SUM(L21:L29)</f>
        <v>0</v>
      </c>
      <c r="M20" s="307">
        <f>+K20-L20</f>
        <v>0.18260000000000001</v>
      </c>
      <c r="N20" s="736" t="s">
        <v>336</v>
      </c>
      <c r="O20" s="612" t="s">
        <v>346</v>
      </c>
      <c r="P20" s="615" t="s">
        <v>347</v>
      </c>
    </row>
    <row r="21" spans="1:16" ht="15.5">
      <c r="A21" s="102"/>
      <c r="B21" s="102" t="s">
        <v>172</v>
      </c>
      <c r="C21" s="116"/>
      <c r="D21" s="85"/>
      <c r="E21" s="85"/>
      <c r="F21" s="85"/>
      <c r="G21" s="86">
        <v>2</v>
      </c>
      <c r="H21" s="87">
        <v>1</v>
      </c>
      <c r="I21" s="86">
        <v>3</v>
      </c>
      <c r="J21" s="88">
        <v>3.0999999999999999E-3</v>
      </c>
      <c r="K21" s="89">
        <f t="shared" ref="K21:K28" si="1">+J21*I21*H21*G21</f>
        <v>1.8599999999999998E-2</v>
      </c>
      <c r="L21" s="308"/>
      <c r="M21" s="309"/>
      <c r="N21" s="737"/>
      <c r="O21" s="613"/>
      <c r="P21" s="616"/>
    </row>
    <row r="22" spans="1:16" ht="15.5">
      <c r="A22" s="85"/>
      <c r="B22" s="85" t="s">
        <v>173</v>
      </c>
      <c r="C22" s="116"/>
      <c r="D22" s="85"/>
      <c r="E22" s="85"/>
      <c r="F22" s="85"/>
      <c r="G22" s="86">
        <v>2</v>
      </c>
      <c r="H22" s="87">
        <v>2</v>
      </c>
      <c r="I22" s="86">
        <v>3</v>
      </c>
      <c r="J22" s="88">
        <v>2.0999999999999999E-3</v>
      </c>
      <c r="K22" s="89">
        <f t="shared" si="1"/>
        <v>2.52E-2</v>
      </c>
      <c r="L22" s="308"/>
      <c r="M22" s="309"/>
      <c r="N22" s="737"/>
      <c r="O22" s="613"/>
      <c r="P22" s="616"/>
    </row>
    <row r="23" spans="1:16" ht="15.5">
      <c r="A23" s="85"/>
      <c r="B23" s="85" t="s">
        <v>174</v>
      </c>
      <c r="C23" s="116"/>
      <c r="D23" s="85"/>
      <c r="E23" s="85"/>
      <c r="F23" s="85"/>
      <c r="G23" s="86">
        <v>2</v>
      </c>
      <c r="H23" s="87">
        <v>1</v>
      </c>
      <c r="I23" s="86">
        <v>2</v>
      </c>
      <c r="J23" s="88">
        <f>0.003</f>
        <v>3.0000000000000001E-3</v>
      </c>
      <c r="K23" s="89">
        <f t="shared" si="1"/>
        <v>1.2E-2</v>
      </c>
      <c r="L23" s="308"/>
      <c r="M23" s="309"/>
      <c r="N23" s="737"/>
      <c r="O23" s="613"/>
      <c r="P23" s="616"/>
    </row>
    <row r="24" spans="1:16" ht="15.5">
      <c r="A24" s="85"/>
      <c r="B24" s="85" t="s">
        <v>175</v>
      </c>
      <c r="C24" s="116"/>
      <c r="D24" s="85"/>
      <c r="E24" s="85"/>
      <c r="F24" s="85"/>
      <c r="G24" s="86">
        <v>2</v>
      </c>
      <c r="H24" s="87">
        <v>2</v>
      </c>
      <c r="I24" s="86">
        <v>2</v>
      </c>
      <c r="J24" s="88">
        <f>0.0025</f>
        <v>2.5000000000000001E-3</v>
      </c>
      <c r="K24" s="89">
        <f t="shared" si="1"/>
        <v>0.02</v>
      </c>
      <c r="L24" s="308"/>
      <c r="M24" s="309"/>
      <c r="N24" s="737"/>
      <c r="O24" s="613"/>
      <c r="P24" s="616"/>
    </row>
    <row r="25" spans="1:16" ht="15.5">
      <c r="A25" s="85"/>
      <c r="B25" s="85" t="s">
        <v>184</v>
      </c>
      <c r="C25" s="116"/>
      <c r="D25" s="85"/>
      <c r="E25" s="85"/>
      <c r="F25" s="85"/>
      <c r="G25" s="86">
        <v>2</v>
      </c>
      <c r="H25" s="87">
        <v>3</v>
      </c>
      <c r="I25" s="86">
        <v>1</v>
      </c>
      <c r="J25" s="88">
        <f>0.015</f>
        <v>1.4999999999999999E-2</v>
      </c>
      <c r="K25" s="89">
        <f t="shared" si="1"/>
        <v>0.09</v>
      </c>
      <c r="L25" s="308"/>
      <c r="M25" s="309"/>
      <c r="N25" s="737"/>
      <c r="O25" s="613"/>
      <c r="P25" s="616"/>
    </row>
    <row r="26" spans="1:16" ht="15.5">
      <c r="A26" s="85"/>
      <c r="B26" s="85" t="s">
        <v>176</v>
      </c>
      <c r="C26" s="116"/>
      <c r="D26" s="85"/>
      <c r="E26" s="85"/>
      <c r="F26" s="85"/>
      <c r="G26" s="89">
        <v>0</v>
      </c>
      <c r="H26" s="89">
        <v>0</v>
      </c>
      <c r="I26" s="89">
        <v>0</v>
      </c>
      <c r="J26" s="88">
        <v>0</v>
      </c>
      <c r="K26" s="89">
        <f t="shared" si="1"/>
        <v>0</v>
      </c>
      <c r="L26" s="308"/>
      <c r="M26" s="309"/>
      <c r="N26" s="737"/>
      <c r="O26" s="613"/>
      <c r="P26" s="616"/>
    </row>
    <row r="27" spans="1:16" ht="15.5">
      <c r="A27" s="85"/>
      <c r="B27" s="85" t="s">
        <v>177</v>
      </c>
      <c r="C27" s="116"/>
      <c r="D27" s="85"/>
      <c r="E27" s="85"/>
      <c r="F27" s="85"/>
      <c r="G27" s="89">
        <v>0</v>
      </c>
      <c r="H27" s="89">
        <v>0</v>
      </c>
      <c r="I27" s="89">
        <v>0</v>
      </c>
      <c r="J27" s="88">
        <v>0</v>
      </c>
      <c r="K27" s="89">
        <f t="shared" si="1"/>
        <v>0</v>
      </c>
      <c r="L27" s="308"/>
      <c r="M27" s="309"/>
      <c r="N27" s="737"/>
      <c r="O27" s="613"/>
      <c r="P27" s="616"/>
    </row>
    <row r="28" spans="1:16" ht="15.5">
      <c r="A28" s="90"/>
      <c r="B28" s="90" t="s">
        <v>179</v>
      </c>
      <c r="C28" s="116"/>
      <c r="D28" s="85"/>
      <c r="E28" s="85"/>
      <c r="F28" s="85"/>
      <c r="G28" s="86">
        <v>2</v>
      </c>
      <c r="H28" s="87">
        <v>3</v>
      </c>
      <c r="I28" s="86">
        <v>3</v>
      </c>
      <c r="J28" s="123">
        <f>0.0028/3</f>
        <v>9.33333333333333E-4</v>
      </c>
      <c r="K28" s="89">
        <f t="shared" si="1"/>
        <v>1.6799999999999999E-2</v>
      </c>
      <c r="L28" s="308"/>
      <c r="M28" s="309"/>
      <c r="N28" s="737"/>
      <c r="O28" s="613"/>
      <c r="P28" s="616"/>
    </row>
    <row r="29" spans="1:16" ht="15.5">
      <c r="A29" s="103"/>
      <c r="B29" s="103"/>
      <c r="C29" s="124"/>
      <c r="D29" s="94"/>
      <c r="E29" s="94"/>
      <c r="F29" s="94"/>
      <c r="G29" s="95"/>
      <c r="H29" s="96"/>
      <c r="I29" s="95"/>
      <c r="J29" s="125"/>
      <c r="K29" s="122"/>
      <c r="L29" s="310"/>
      <c r="M29" s="311"/>
      <c r="N29" s="738"/>
      <c r="O29" s="614"/>
      <c r="P29" s="617"/>
    </row>
    <row r="30" spans="1:16" ht="77.5">
      <c r="A30" s="240"/>
      <c r="B30" s="240" t="s">
        <v>181</v>
      </c>
      <c r="C30" s="233">
        <v>0.18679999999999999</v>
      </c>
      <c r="D30" s="253">
        <v>0.12231300000000001</v>
      </c>
      <c r="E30" s="233">
        <v>4.2000000000000003E-2</v>
      </c>
      <c r="F30" s="312">
        <v>0</v>
      </c>
      <c r="G30" s="246">
        <v>2</v>
      </c>
      <c r="H30" s="247">
        <v>2</v>
      </c>
      <c r="I30" s="246">
        <v>4</v>
      </c>
      <c r="J30" s="238"/>
      <c r="K30" s="239">
        <f>+SUM(K31:K38)</f>
        <v>0.16880000000000001</v>
      </c>
      <c r="L30" s="307">
        <f>+SUM(L31:L39)</f>
        <v>0</v>
      </c>
      <c r="M30" s="307">
        <f>+K30-L30</f>
        <v>0.16880000000000001</v>
      </c>
      <c r="N30" s="736" t="s">
        <v>336</v>
      </c>
      <c r="O30" s="612" t="s">
        <v>348</v>
      </c>
      <c r="P30" s="618" t="s">
        <v>186</v>
      </c>
    </row>
    <row r="31" spans="1:16" ht="15.5">
      <c r="A31" s="102"/>
      <c r="B31" s="102" t="s">
        <v>172</v>
      </c>
      <c r="C31" s="116"/>
      <c r="D31" s="85"/>
      <c r="E31" s="85"/>
      <c r="F31" s="85"/>
      <c r="G31" s="89">
        <v>0</v>
      </c>
      <c r="H31" s="89">
        <v>0</v>
      </c>
      <c r="I31" s="89">
        <v>0</v>
      </c>
      <c r="J31" s="88">
        <v>0</v>
      </c>
      <c r="K31" s="89">
        <f>+J31*I31</f>
        <v>0</v>
      </c>
      <c r="L31" s="308"/>
      <c r="M31" s="309"/>
      <c r="N31" s="737"/>
      <c r="O31" s="613"/>
      <c r="P31" s="619"/>
    </row>
    <row r="32" spans="1:16" ht="15.5">
      <c r="A32" s="85"/>
      <c r="B32" s="85" t="s">
        <v>173</v>
      </c>
      <c r="C32" s="116"/>
      <c r="D32" s="85"/>
      <c r="E32" s="85"/>
      <c r="F32" s="85"/>
      <c r="G32" s="86">
        <v>2</v>
      </c>
      <c r="H32" s="87">
        <v>2</v>
      </c>
      <c r="I32" s="86">
        <v>4</v>
      </c>
      <c r="J32" s="88">
        <v>2.0999999999999999E-3</v>
      </c>
      <c r="K32" s="85">
        <f>+J32*I32*H32*G32</f>
        <v>3.3599999999999998E-2</v>
      </c>
      <c r="L32" s="313"/>
      <c r="M32" s="111"/>
      <c r="N32" s="737"/>
      <c r="O32" s="613"/>
      <c r="P32" s="619"/>
    </row>
    <row r="33" spans="1:16" ht="15.5">
      <c r="A33" s="85"/>
      <c r="B33" s="85" t="s">
        <v>174</v>
      </c>
      <c r="C33" s="116"/>
      <c r="D33" s="85"/>
      <c r="E33" s="85"/>
      <c r="F33" s="85"/>
      <c r="G33" s="89">
        <v>0</v>
      </c>
      <c r="H33" s="89">
        <v>0</v>
      </c>
      <c r="I33" s="89">
        <v>0</v>
      </c>
      <c r="J33" s="88">
        <v>0</v>
      </c>
      <c r="K33" s="85">
        <f>+J33*I33*H33*G33</f>
        <v>0</v>
      </c>
      <c r="L33" s="313"/>
      <c r="M33" s="111"/>
      <c r="N33" s="737"/>
      <c r="O33" s="613"/>
      <c r="P33" s="619"/>
    </row>
    <row r="34" spans="1:16" ht="15.5">
      <c r="A34" s="85"/>
      <c r="B34" s="85" t="s">
        <v>175</v>
      </c>
      <c r="C34" s="116"/>
      <c r="D34" s="85"/>
      <c r="E34" s="85"/>
      <c r="F34" s="85"/>
      <c r="G34" s="86">
        <v>2</v>
      </c>
      <c r="H34" s="87">
        <v>2</v>
      </c>
      <c r="I34" s="86">
        <v>4</v>
      </c>
      <c r="J34" s="88">
        <f>0.003</f>
        <v>3.0000000000000001E-3</v>
      </c>
      <c r="K34" s="85">
        <f>+J34*I34*H34*G34</f>
        <v>4.8000000000000001E-2</v>
      </c>
      <c r="L34" s="313"/>
      <c r="M34" s="111"/>
      <c r="N34" s="737"/>
      <c r="O34" s="613"/>
      <c r="P34" s="619"/>
    </row>
    <row r="35" spans="1:16" ht="15.5">
      <c r="A35" s="85"/>
      <c r="B35" s="85" t="s">
        <v>205</v>
      </c>
      <c r="C35" s="116"/>
      <c r="D35" s="85"/>
      <c r="E35" s="85"/>
      <c r="F35" s="85"/>
      <c r="G35" s="86">
        <v>2</v>
      </c>
      <c r="H35" s="87">
        <v>2</v>
      </c>
      <c r="I35" s="86">
        <v>1</v>
      </c>
      <c r="J35" s="88">
        <f>0.018</f>
        <v>1.7999999999999999E-2</v>
      </c>
      <c r="K35" s="85">
        <f>+J35*I35*H35*G35</f>
        <v>7.1999999999999995E-2</v>
      </c>
      <c r="L35" s="313"/>
      <c r="M35" s="111"/>
      <c r="N35" s="737"/>
      <c r="O35" s="613"/>
      <c r="P35" s="619"/>
    </row>
    <row r="36" spans="1:16" ht="15.5">
      <c r="A36" s="85"/>
      <c r="B36" s="85" t="s">
        <v>176</v>
      </c>
      <c r="C36" s="116"/>
      <c r="D36" s="85"/>
      <c r="E36" s="85"/>
      <c r="F36" s="85"/>
      <c r="G36" s="85"/>
      <c r="H36" s="126"/>
      <c r="I36" s="85"/>
      <c r="J36" s="126"/>
      <c r="K36" s="85"/>
      <c r="L36" s="313"/>
      <c r="M36" s="111"/>
      <c r="N36" s="737"/>
      <c r="O36" s="613"/>
      <c r="P36" s="619"/>
    </row>
    <row r="37" spans="1:16" ht="15.5">
      <c r="A37" s="85"/>
      <c r="B37" s="85" t="s">
        <v>177</v>
      </c>
      <c r="C37" s="116"/>
      <c r="D37" s="85"/>
      <c r="E37" s="85"/>
      <c r="F37" s="85"/>
      <c r="G37" s="85"/>
      <c r="H37" s="126"/>
      <c r="I37" s="85"/>
      <c r="J37" s="126"/>
      <c r="K37" s="85"/>
      <c r="L37" s="313"/>
      <c r="M37" s="111"/>
      <c r="N37" s="737"/>
      <c r="O37" s="613"/>
      <c r="P37" s="619"/>
    </row>
    <row r="38" spans="1:16" ht="15.5">
      <c r="A38" s="103"/>
      <c r="B38" s="103" t="s">
        <v>179</v>
      </c>
      <c r="C38" s="124"/>
      <c r="D38" s="94"/>
      <c r="E38" s="94"/>
      <c r="F38" s="94"/>
      <c r="G38" s="95">
        <v>2</v>
      </c>
      <c r="H38" s="96">
        <v>2</v>
      </c>
      <c r="I38" s="95">
        <v>4</v>
      </c>
      <c r="J38" s="125">
        <f>0.00095</f>
        <v>9.5E-4</v>
      </c>
      <c r="K38" s="94">
        <f>+J38*I38*H38*G38</f>
        <v>1.52E-2</v>
      </c>
      <c r="L38" s="314"/>
      <c r="M38" s="104"/>
      <c r="N38" s="738"/>
      <c r="O38" s="614"/>
      <c r="P38" s="620"/>
    </row>
    <row r="39" spans="1:16" ht="33.5">
      <c r="A39" s="244"/>
      <c r="B39" s="244" t="s">
        <v>187</v>
      </c>
      <c r="C39" s="250">
        <v>0.6774</v>
      </c>
      <c r="D39" s="234">
        <v>0.65581699999999998</v>
      </c>
      <c r="E39" s="251">
        <v>0.38919999999999999</v>
      </c>
      <c r="F39" s="252">
        <v>0.389048</v>
      </c>
      <c r="G39" s="246">
        <v>1</v>
      </c>
      <c r="H39" s="247">
        <v>5</v>
      </c>
      <c r="I39" s="246">
        <v>6</v>
      </c>
      <c r="J39" s="248"/>
      <c r="K39" s="239">
        <f>+SUM(K40:K48)</f>
        <v>0.52800000000000002</v>
      </c>
      <c r="L39" s="307">
        <f>+SUM(L40:L48)</f>
        <v>0</v>
      </c>
      <c r="M39" s="307">
        <f>+K39-L39</f>
        <v>0.52800000000000002</v>
      </c>
      <c r="N39" s="736" t="s">
        <v>337</v>
      </c>
      <c r="O39" s="612" t="s">
        <v>349</v>
      </c>
      <c r="P39" s="629" t="s">
        <v>189</v>
      </c>
    </row>
    <row r="40" spans="1:16" ht="15.5">
      <c r="A40" s="102"/>
      <c r="B40" s="102" t="s">
        <v>172</v>
      </c>
      <c r="C40" s="116"/>
      <c r="D40" s="85"/>
      <c r="E40" s="85"/>
      <c r="F40" s="85"/>
      <c r="G40" s="86">
        <v>1</v>
      </c>
      <c r="H40" s="87">
        <v>1</v>
      </c>
      <c r="I40" s="86">
        <v>6</v>
      </c>
      <c r="J40" s="88">
        <v>3.0999999999999999E-3</v>
      </c>
      <c r="K40" s="85">
        <f>+J40*I40*H40*G40</f>
        <v>1.8599999999999998E-2</v>
      </c>
      <c r="L40" s="313"/>
      <c r="M40" s="111"/>
      <c r="N40" s="741"/>
      <c r="O40" s="613"/>
      <c r="P40" s="640"/>
    </row>
    <row r="41" spans="1:16" ht="15.5">
      <c r="A41" s="85"/>
      <c r="B41" s="85" t="s">
        <v>173</v>
      </c>
      <c r="C41" s="116"/>
      <c r="D41" s="85"/>
      <c r="E41" s="85"/>
      <c r="F41" s="85"/>
      <c r="G41" s="86">
        <v>1</v>
      </c>
      <c r="H41" s="87">
        <v>4</v>
      </c>
      <c r="I41" s="86">
        <v>6</v>
      </c>
      <c r="J41" s="88">
        <v>2.0999999999999999E-3</v>
      </c>
      <c r="K41" s="85">
        <f>+J41*I41*H41*G41</f>
        <v>5.04E-2</v>
      </c>
      <c r="L41" s="313"/>
      <c r="M41" s="111"/>
      <c r="N41" s="741"/>
      <c r="O41" s="613"/>
      <c r="P41" s="640"/>
    </row>
    <row r="42" spans="1:16" ht="15.5">
      <c r="A42" s="85"/>
      <c r="B42" s="85" t="s">
        <v>174</v>
      </c>
      <c r="C42" s="116"/>
      <c r="D42" s="85"/>
      <c r="E42" s="85"/>
      <c r="F42" s="85"/>
      <c r="G42" s="86">
        <v>1</v>
      </c>
      <c r="H42" s="87">
        <v>1</v>
      </c>
      <c r="I42" s="86">
        <v>4</v>
      </c>
      <c r="J42" s="88">
        <f>0.0042</f>
        <v>4.1999999999999997E-3</v>
      </c>
      <c r="K42" s="89">
        <f>+J42*I42*H42*G42</f>
        <v>1.6799999999999999E-2</v>
      </c>
      <c r="L42" s="308"/>
      <c r="M42" s="309"/>
      <c r="N42" s="741"/>
      <c r="O42" s="613"/>
      <c r="P42" s="640"/>
    </row>
    <row r="43" spans="1:16" ht="15.5">
      <c r="A43" s="85"/>
      <c r="B43" s="85" t="s">
        <v>175</v>
      </c>
      <c r="C43" s="116"/>
      <c r="D43" s="85"/>
      <c r="E43" s="85"/>
      <c r="F43" s="85"/>
      <c r="G43" s="86">
        <v>1</v>
      </c>
      <c r="H43" s="87">
        <v>4</v>
      </c>
      <c r="I43" s="86">
        <v>4</v>
      </c>
      <c r="J43" s="88">
        <f>0.0042</f>
        <v>4.1999999999999997E-3</v>
      </c>
      <c r="K43" s="89">
        <f>+J43*I43*H43*G43</f>
        <v>6.7199999999999996E-2</v>
      </c>
      <c r="L43" s="308"/>
      <c r="M43" s="309"/>
      <c r="N43" s="741"/>
      <c r="O43" s="613"/>
      <c r="P43" s="640"/>
    </row>
    <row r="44" spans="1:16" ht="15.5">
      <c r="A44" s="85"/>
      <c r="B44" s="85" t="s">
        <v>184</v>
      </c>
      <c r="C44" s="116"/>
      <c r="D44" s="85"/>
      <c r="E44" s="85"/>
      <c r="F44" s="85"/>
      <c r="G44" s="86">
        <v>1</v>
      </c>
      <c r="H44" s="87">
        <v>5</v>
      </c>
      <c r="I44" s="86">
        <v>1</v>
      </c>
      <c r="J44" s="88">
        <f>0.045</f>
        <v>4.4999999999999998E-2</v>
      </c>
      <c r="K44" s="89">
        <f>+J44*I44*H44*G44</f>
        <v>0.22500000000000001</v>
      </c>
      <c r="L44" s="308"/>
      <c r="M44" s="309"/>
      <c r="N44" s="741"/>
      <c r="O44" s="613"/>
      <c r="P44" s="640"/>
    </row>
    <row r="45" spans="1:16" ht="15.5">
      <c r="A45" s="85"/>
      <c r="B45" s="85" t="s">
        <v>176</v>
      </c>
      <c r="C45" s="116"/>
      <c r="D45" s="85"/>
      <c r="E45" s="85"/>
      <c r="F45" s="85"/>
      <c r="G45" s="89">
        <v>0</v>
      </c>
      <c r="H45" s="89">
        <v>0</v>
      </c>
      <c r="I45" s="89">
        <v>0</v>
      </c>
      <c r="J45" s="88">
        <v>0</v>
      </c>
      <c r="K45" s="89">
        <f>+J45*I45</f>
        <v>0</v>
      </c>
      <c r="L45" s="308"/>
      <c r="M45" s="309"/>
      <c r="N45" s="741"/>
      <c r="O45" s="613"/>
      <c r="P45" s="640"/>
    </row>
    <row r="46" spans="1:16" ht="15.5">
      <c r="A46" s="85"/>
      <c r="B46" s="85" t="s">
        <v>177</v>
      </c>
      <c r="C46" s="116"/>
      <c r="D46" s="85"/>
      <c r="E46" s="85"/>
      <c r="F46" s="85"/>
      <c r="G46" s="89">
        <v>0</v>
      </c>
      <c r="H46" s="89">
        <v>0</v>
      </c>
      <c r="I46" s="89">
        <v>0</v>
      </c>
      <c r="J46" s="88">
        <v>0</v>
      </c>
      <c r="K46" s="89">
        <f>+J46*I46</f>
        <v>0</v>
      </c>
      <c r="L46" s="308"/>
      <c r="M46" s="309"/>
      <c r="N46" s="741"/>
      <c r="O46" s="613"/>
      <c r="P46" s="640"/>
    </row>
    <row r="47" spans="1:16" ht="15.5">
      <c r="A47" s="90"/>
      <c r="B47" s="90" t="s">
        <v>178</v>
      </c>
      <c r="C47" s="116"/>
      <c r="D47" s="85"/>
      <c r="E47" s="85"/>
      <c r="F47" s="85"/>
      <c r="G47" s="86">
        <v>1</v>
      </c>
      <c r="H47" s="87">
        <v>5</v>
      </c>
      <c r="I47" s="86">
        <v>1</v>
      </c>
      <c r="J47" s="88">
        <f>0.026</f>
        <v>2.5999999999999999E-2</v>
      </c>
      <c r="K47" s="89">
        <f>+J47*I47*H47*G47</f>
        <v>0.13</v>
      </c>
      <c r="L47" s="308"/>
      <c r="M47" s="309"/>
      <c r="N47" s="741"/>
      <c r="O47" s="613"/>
      <c r="P47" s="640"/>
    </row>
    <row r="48" spans="1:16" ht="15.5">
      <c r="A48" s="103"/>
      <c r="B48" s="103" t="s">
        <v>179</v>
      </c>
      <c r="C48" s="124"/>
      <c r="D48" s="94"/>
      <c r="E48" s="94"/>
      <c r="F48" s="94"/>
      <c r="G48" s="105">
        <v>1</v>
      </c>
      <c r="H48" s="106">
        <v>5</v>
      </c>
      <c r="I48" s="105">
        <v>6</v>
      </c>
      <c r="J48" s="107">
        <f>0.004/6</f>
        <v>6.6666666666666697E-4</v>
      </c>
      <c r="K48" s="98">
        <f>+J48*I48*H48*G48</f>
        <v>0.02</v>
      </c>
      <c r="L48" s="315"/>
      <c r="M48" s="316"/>
      <c r="N48" s="742"/>
      <c r="O48" s="614"/>
      <c r="P48" s="641"/>
    </row>
    <row r="49" spans="1:16" ht="33.5">
      <c r="A49" s="244"/>
      <c r="B49" s="244" t="s">
        <v>190</v>
      </c>
      <c r="C49" s="250">
        <v>0</v>
      </c>
      <c r="D49" s="234">
        <v>0</v>
      </c>
      <c r="E49" s="252">
        <v>7.0000000000000007E-2</v>
      </c>
      <c r="F49" s="250">
        <v>0</v>
      </c>
      <c r="G49" s="246">
        <v>1</v>
      </c>
      <c r="H49" s="247">
        <v>1</v>
      </c>
      <c r="I49" s="246">
        <v>5</v>
      </c>
      <c r="J49" s="248"/>
      <c r="K49" s="239">
        <f>+SUM(K50:K58)</f>
        <v>6.83E-2</v>
      </c>
      <c r="L49" s="307">
        <f>+SUM(L50:L58)</f>
        <v>0</v>
      </c>
      <c r="M49" s="307">
        <f>+K49-L49</f>
        <v>6.83E-2</v>
      </c>
      <c r="N49" s="736" t="s">
        <v>338</v>
      </c>
      <c r="O49" s="612" t="s">
        <v>350</v>
      </c>
      <c r="P49" s="629" t="s">
        <v>188</v>
      </c>
    </row>
    <row r="50" spans="1:16" ht="15.5">
      <c r="A50" s="102"/>
      <c r="B50" s="102" t="s">
        <v>172</v>
      </c>
      <c r="C50" s="116"/>
      <c r="D50" s="85"/>
      <c r="E50" s="85"/>
      <c r="F50" s="317"/>
      <c r="G50" s="86">
        <v>1</v>
      </c>
      <c r="H50" s="87">
        <v>1</v>
      </c>
      <c r="I50" s="86">
        <v>5</v>
      </c>
      <c r="J50" s="88">
        <v>3.0999999999999999E-3</v>
      </c>
      <c r="K50" s="85">
        <f>+J50*I50*H50*G50</f>
        <v>1.55E-2</v>
      </c>
      <c r="L50" s="313"/>
      <c r="M50" s="111"/>
      <c r="N50" s="737"/>
      <c r="O50" s="613"/>
      <c r="P50" s="640"/>
    </row>
    <row r="51" spans="1:16" ht="15.5">
      <c r="A51" s="85"/>
      <c r="B51" s="85" t="s">
        <v>173</v>
      </c>
      <c r="C51" s="116"/>
      <c r="D51" s="85"/>
      <c r="E51" s="85"/>
      <c r="F51" s="317"/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308"/>
      <c r="M51" s="309"/>
      <c r="N51" s="737"/>
      <c r="O51" s="613"/>
      <c r="P51" s="640"/>
    </row>
    <row r="52" spans="1:16" ht="15.5">
      <c r="A52" s="85"/>
      <c r="B52" s="85" t="s">
        <v>174</v>
      </c>
      <c r="C52" s="116"/>
      <c r="D52" s="85"/>
      <c r="E52" s="85"/>
      <c r="F52" s="317"/>
      <c r="G52" s="86">
        <v>1</v>
      </c>
      <c r="H52" s="86">
        <v>1</v>
      </c>
      <c r="I52" s="86">
        <v>4</v>
      </c>
      <c r="J52" s="89">
        <f>0.005</f>
        <v>5.0000000000000001E-3</v>
      </c>
      <c r="K52" s="89">
        <f>+J52*I52*H52*G52</f>
        <v>0.02</v>
      </c>
      <c r="L52" s="308"/>
      <c r="M52" s="309"/>
      <c r="N52" s="737"/>
      <c r="O52" s="613"/>
      <c r="P52" s="640"/>
    </row>
    <row r="53" spans="1:16" ht="15.5">
      <c r="A53" s="85"/>
      <c r="B53" s="85" t="s">
        <v>175</v>
      </c>
      <c r="C53" s="116"/>
      <c r="D53" s="85"/>
      <c r="E53" s="85"/>
      <c r="F53" s="317"/>
      <c r="G53" s="89">
        <v>0</v>
      </c>
      <c r="H53" s="89">
        <v>0</v>
      </c>
      <c r="I53" s="89">
        <v>0</v>
      </c>
      <c r="J53" s="89">
        <v>0</v>
      </c>
      <c r="K53" s="89">
        <f>+J53*I53*H53*G53</f>
        <v>0</v>
      </c>
      <c r="L53" s="308"/>
      <c r="M53" s="309"/>
      <c r="N53" s="737"/>
      <c r="O53" s="613"/>
      <c r="P53" s="640"/>
    </row>
    <row r="54" spans="1:16" ht="15.5">
      <c r="A54" s="85"/>
      <c r="B54" s="85" t="s">
        <v>184</v>
      </c>
      <c r="C54" s="116"/>
      <c r="D54" s="85"/>
      <c r="E54" s="85"/>
      <c r="F54" s="317"/>
      <c r="G54" s="86">
        <v>1</v>
      </c>
      <c r="H54" s="87">
        <v>1</v>
      </c>
      <c r="I54" s="86">
        <v>1</v>
      </c>
      <c r="J54" s="89">
        <f>0.027</f>
        <v>2.7E-2</v>
      </c>
      <c r="K54" s="89">
        <f>+J54*I54*H54*G54</f>
        <v>2.7E-2</v>
      </c>
      <c r="L54" s="308"/>
      <c r="M54" s="309"/>
      <c r="N54" s="737"/>
      <c r="O54" s="613"/>
      <c r="P54" s="640"/>
    </row>
    <row r="55" spans="1:16" ht="15.5">
      <c r="A55" s="85"/>
      <c r="B55" s="85" t="s">
        <v>176</v>
      </c>
      <c r="C55" s="116"/>
      <c r="D55" s="85"/>
      <c r="E55" s="85"/>
      <c r="F55" s="317"/>
      <c r="G55" s="89">
        <v>0</v>
      </c>
      <c r="H55" s="89">
        <v>0</v>
      </c>
      <c r="I55" s="89">
        <v>0</v>
      </c>
      <c r="J55" s="89">
        <v>0</v>
      </c>
      <c r="K55" s="89">
        <f>+J55*I55</f>
        <v>0</v>
      </c>
      <c r="L55" s="308"/>
      <c r="M55" s="309"/>
      <c r="N55" s="737"/>
      <c r="O55" s="613"/>
      <c r="P55" s="640"/>
    </row>
    <row r="56" spans="1:16" ht="15.5">
      <c r="A56" s="85"/>
      <c r="B56" s="85" t="s">
        <v>177</v>
      </c>
      <c r="C56" s="116"/>
      <c r="D56" s="85"/>
      <c r="E56" s="85"/>
      <c r="F56" s="317"/>
      <c r="G56" s="89">
        <v>0</v>
      </c>
      <c r="H56" s="89">
        <v>0</v>
      </c>
      <c r="I56" s="89">
        <v>0</v>
      </c>
      <c r="J56" s="89">
        <v>0</v>
      </c>
      <c r="K56" s="89">
        <f>+J56*I56</f>
        <v>0</v>
      </c>
      <c r="L56" s="308"/>
      <c r="M56" s="309"/>
      <c r="N56" s="737"/>
      <c r="O56" s="613"/>
      <c r="P56" s="640"/>
    </row>
    <row r="57" spans="1:16" ht="15.5">
      <c r="A57" s="90"/>
      <c r="B57" s="90" t="s">
        <v>178</v>
      </c>
      <c r="C57" s="116"/>
      <c r="D57" s="85"/>
      <c r="E57" s="85"/>
      <c r="F57" s="317"/>
      <c r="G57" s="89">
        <v>0</v>
      </c>
      <c r="H57" s="89">
        <v>0</v>
      </c>
      <c r="I57" s="89">
        <v>0</v>
      </c>
      <c r="J57" s="88">
        <v>0</v>
      </c>
      <c r="K57" s="89">
        <f>+J57*I57*H57*G57</f>
        <v>0</v>
      </c>
      <c r="L57" s="308"/>
      <c r="M57" s="309"/>
      <c r="N57" s="737"/>
      <c r="O57" s="613"/>
      <c r="P57" s="640"/>
    </row>
    <row r="58" spans="1:16" ht="15.5">
      <c r="A58" s="103"/>
      <c r="B58" s="103" t="s">
        <v>179</v>
      </c>
      <c r="C58" s="124"/>
      <c r="D58" s="94"/>
      <c r="E58" s="94"/>
      <c r="F58" s="318"/>
      <c r="G58" s="105">
        <v>1</v>
      </c>
      <c r="H58" s="106">
        <v>1</v>
      </c>
      <c r="I58" s="105">
        <v>5</v>
      </c>
      <c r="J58" s="107">
        <f>0.0058/5</f>
        <v>1.16E-3</v>
      </c>
      <c r="K58" s="98">
        <f>+J58*I58*H58*G58</f>
        <v>5.7999999999999996E-3</v>
      </c>
      <c r="L58" s="315"/>
      <c r="M58" s="316"/>
      <c r="N58" s="738"/>
      <c r="O58" s="614"/>
      <c r="P58" s="641"/>
    </row>
    <row r="59" spans="1:16" ht="31">
      <c r="A59" s="244"/>
      <c r="B59" s="244" t="s">
        <v>191</v>
      </c>
      <c r="C59" s="245">
        <v>0</v>
      </c>
      <c r="D59" s="245">
        <v>0</v>
      </c>
      <c r="E59" s="249">
        <v>0.14219999999999999</v>
      </c>
      <c r="F59" s="249">
        <v>0.14219999999999999</v>
      </c>
      <c r="G59" s="246">
        <v>1</v>
      </c>
      <c r="H59" s="247">
        <v>2</v>
      </c>
      <c r="I59" s="246">
        <v>5</v>
      </c>
      <c r="J59" s="248"/>
      <c r="K59" s="239">
        <f>+SUM(K60:K67)</f>
        <v>0.21099999999999999</v>
      </c>
      <c r="L59" s="307">
        <f>+SUM(L60:L68)</f>
        <v>0</v>
      </c>
      <c r="M59" s="307">
        <f>+K59-L59</f>
        <v>0.21099999999999999</v>
      </c>
      <c r="N59" s="743" t="s">
        <v>150</v>
      </c>
      <c r="O59" s="612" t="s">
        <v>351</v>
      </c>
      <c r="P59" s="648" t="s">
        <v>192</v>
      </c>
    </row>
    <row r="60" spans="1:16" ht="15.5">
      <c r="A60" s="102"/>
      <c r="B60" s="102" t="s">
        <v>172</v>
      </c>
      <c r="C60" s="116"/>
      <c r="D60" s="85"/>
      <c r="E60" s="85"/>
      <c r="F60" s="85"/>
      <c r="G60" s="89">
        <v>0</v>
      </c>
      <c r="H60" s="89">
        <v>0</v>
      </c>
      <c r="I60" s="89">
        <v>0</v>
      </c>
      <c r="J60" s="88">
        <v>0</v>
      </c>
      <c r="K60" s="89">
        <f>+J60*I60</f>
        <v>0</v>
      </c>
      <c r="L60" s="308"/>
      <c r="M60" s="309"/>
      <c r="N60" s="565"/>
      <c r="O60" s="613"/>
      <c r="P60" s="640"/>
    </row>
    <row r="61" spans="1:16" ht="15.5">
      <c r="A61" s="85"/>
      <c r="B61" s="85" t="s">
        <v>173</v>
      </c>
      <c r="C61" s="116"/>
      <c r="D61" s="85"/>
      <c r="E61" s="85"/>
      <c r="F61" s="85"/>
      <c r="G61" s="86">
        <v>1</v>
      </c>
      <c r="H61" s="87">
        <v>2</v>
      </c>
      <c r="I61" s="86">
        <v>5</v>
      </c>
      <c r="J61" s="88">
        <v>2.0999999999999999E-3</v>
      </c>
      <c r="K61" s="116">
        <f>+J61*I61*H61*G61</f>
        <v>2.1000000000000001E-2</v>
      </c>
      <c r="L61" s="319"/>
      <c r="M61" s="320"/>
      <c r="N61" s="565"/>
      <c r="O61" s="613"/>
      <c r="P61" s="640"/>
    </row>
    <row r="62" spans="1:16" ht="15.5">
      <c r="A62" s="85"/>
      <c r="B62" s="85" t="s">
        <v>174</v>
      </c>
      <c r="C62" s="116"/>
      <c r="D62" s="85"/>
      <c r="E62" s="85"/>
      <c r="F62" s="85"/>
      <c r="G62" s="89">
        <v>0</v>
      </c>
      <c r="H62" s="89">
        <v>0</v>
      </c>
      <c r="I62" s="89">
        <v>0</v>
      </c>
      <c r="J62" s="88">
        <v>0</v>
      </c>
      <c r="K62" s="89">
        <f>+J62*I62</f>
        <v>0</v>
      </c>
      <c r="L62" s="308"/>
      <c r="M62" s="309"/>
      <c r="N62" s="565"/>
      <c r="O62" s="613"/>
      <c r="P62" s="640"/>
    </row>
    <row r="63" spans="1:16" ht="15.5">
      <c r="A63" s="85"/>
      <c r="B63" s="85" t="s">
        <v>175</v>
      </c>
      <c r="C63" s="116"/>
      <c r="D63" s="85"/>
      <c r="E63" s="85"/>
      <c r="F63" s="85"/>
      <c r="G63" s="86">
        <v>1</v>
      </c>
      <c r="H63" s="87">
        <v>2</v>
      </c>
      <c r="I63" s="86">
        <v>4</v>
      </c>
      <c r="J63" s="88">
        <f>0.005</f>
        <v>5.0000000000000001E-3</v>
      </c>
      <c r="K63" s="89">
        <f>+J63*I63*H63*G63</f>
        <v>0.04</v>
      </c>
      <c r="L63" s="308"/>
      <c r="M63" s="309"/>
      <c r="N63" s="565"/>
      <c r="O63" s="613"/>
      <c r="P63" s="640"/>
    </row>
    <row r="64" spans="1:16" ht="15.5">
      <c r="A64" s="85"/>
      <c r="B64" s="85" t="s">
        <v>184</v>
      </c>
      <c r="C64" s="116"/>
      <c r="D64" s="85"/>
      <c r="E64" s="85"/>
      <c r="F64" s="85"/>
      <c r="G64" s="86">
        <v>1</v>
      </c>
      <c r="H64" s="87">
        <v>2</v>
      </c>
      <c r="I64" s="86">
        <v>1</v>
      </c>
      <c r="J64" s="88">
        <f>0.045</f>
        <v>4.4999999999999998E-2</v>
      </c>
      <c r="K64" s="89">
        <f>+J64*I64*H64*G64</f>
        <v>0.09</v>
      </c>
      <c r="L64" s="308"/>
      <c r="M64" s="309"/>
      <c r="N64" s="565"/>
      <c r="O64" s="613"/>
      <c r="P64" s="640"/>
    </row>
    <row r="65" spans="1:16" ht="15.5">
      <c r="A65" s="90"/>
      <c r="B65" s="90" t="s">
        <v>178</v>
      </c>
      <c r="C65" s="116"/>
      <c r="D65" s="85"/>
      <c r="E65" s="85"/>
      <c r="F65" s="85"/>
      <c r="G65" s="86">
        <v>1</v>
      </c>
      <c r="H65" s="87">
        <v>2</v>
      </c>
      <c r="I65" s="86">
        <v>1</v>
      </c>
      <c r="J65" s="88">
        <f>0.025</f>
        <v>2.5000000000000001E-2</v>
      </c>
      <c r="K65" s="89">
        <f>+J65*I65*H65*G65</f>
        <v>0.05</v>
      </c>
      <c r="L65" s="308"/>
      <c r="M65" s="309"/>
      <c r="N65" s="565"/>
      <c r="O65" s="613"/>
      <c r="P65" s="640"/>
    </row>
    <row r="66" spans="1:16" ht="15.5">
      <c r="A66" s="85"/>
      <c r="B66" s="85" t="s">
        <v>177</v>
      </c>
      <c r="C66" s="116"/>
      <c r="D66" s="85"/>
      <c r="E66" s="85"/>
      <c r="F66" s="85"/>
      <c r="G66" s="89">
        <v>0</v>
      </c>
      <c r="H66" s="89">
        <v>0</v>
      </c>
      <c r="I66" s="89">
        <v>0</v>
      </c>
      <c r="J66" s="88">
        <v>0</v>
      </c>
      <c r="K66" s="89">
        <f>+J66*I66</f>
        <v>0</v>
      </c>
      <c r="L66" s="308"/>
      <c r="M66" s="309"/>
      <c r="N66" s="565"/>
      <c r="O66" s="613"/>
      <c r="P66" s="640"/>
    </row>
    <row r="67" spans="1:16" ht="15.5">
      <c r="A67" s="103"/>
      <c r="B67" s="103" t="s">
        <v>179</v>
      </c>
      <c r="C67" s="118"/>
      <c r="D67" s="104"/>
      <c r="E67" s="104"/>
      <c r="F67" s="104"/>
      <c r="G67" s="105">
        <v>1</v>
      </c>
      <c r="H67" s="106">
        <v>2</v>
      </c>
      <c r="I67" s="105">
        <v>5</v>
      </c>
      <c r="J67" s="107">
        <f>0.005/5</f>
        <v>1E-3</v>
      </c>
      <c r="K67" s="98">
        <f>+J67*I67*H67*G67</f>
        <v>0.01</v>
      </c>
      <c r="L67" s="315"/>
      <c r="M67" s="316"/>
      <c r="N67" s="566"/>
      <c r="O67" s="614"/>
      <c r="P67" s="641"/>
    </row>
    <row r="68" spans="1:16" ht="31">
      <c r="A68" s="244"/>
      <c r="B68" s="244" t="s">
        <v>193</v>
      </c>
      <c r="C68" s="245">
        <v>0</v>
      </c>
      <c r="D68" s="245">
        <v>0</v>
      </c>
      <c r="E68" s="245">
        <v>0</v>
      </c>
      <c r="F68" s="245">
        <v>0</v>
      </c>
      <c r="G68" s="246">
        <v>1</v>
      </c>
      <c r="H68" s="247">
        <v>2</v>
      </c>
      <c r="I68" s="246">
        <v>5</v>
      </c>
      <c r="J68" s="248"/>
      <c r="K68" s="239">
        <f>+SUM(K69:K77)</f>
        <v>0.107</v>
      </c>
      <c r="L68" s="307">
        <f>+SUM(L69:L77)</f>
        <v>0</v>
      </c>
      <c r="M68" s="307">
        <f>+K68-L68</f>
        <v>0.107</v>
      </c>
      <c r="N68" s="321" t="s">
        <v>150</v>
      </c>
      <c r="O68" s="612" t="s">
        <v>352</v>
      </c>
      <c r="P68" s="648" t="s">
        <v>197</v>
      </c>
    </row>
    <row r="69" spans="1:16" ht="15.5">
      <c r="A69" s="102"/>
      <c r="B69" s="102" t="s">
        <v>172</v>
      </c>
      <c r="C69" s="116"/>
      <c r="D69" s="85"/>
      <c r="E69" s="85"/>
      <c r="F69" s="85"/>
      <c r="G69" s="89">
        <v>0</v>
      </c>
      <c r="H69" s="89">
        <v>0</v>
      </c>
      <c r="I69" s="89">
        <v>0</v>
      </c>
      <c r="J69" s="88">
        <v>0</v>
      </c>
      <c r="K69" s="89">
        <f>+J69*I69</f>
        <v>0</v>
      </c>
      <c r="L69" s="308"/>
      <c r="M69" s="309"/>
      <c r="N69" s="322"/>
      <c r="O69" s="613"/>
      <c r="P69" s="640"/>
    </row>
    <row r="70" spans="1:16" ht="15.5">
      <c r="A70" s="85"/>
      <c r="B70" s="85" t="s">
        <v>173</v>
      </c>
      <c r="C70" s="116"/>
      <c r="D70" s="85"/>
      <c r="E70" s="85"/>
      <c r="F70" s="85"/>
      <c r="G70" s="86">
        <v>1</v>
      </c>
      <c r="H70" s="87">
        <v>2</v>
      </c>
      <c r="I70" s="86">
        <v>5</v>
      </c>
      <c r="J70" s="88">
        <v>2.0999999999999999E-3</v>
      </c>
      <c r="K70" s="85">
        <f>+J70*I70*H70*G70</f>
        <v>2.1000000000000001E-2</v>
      </c>
      <c r="L70" s="313"/>
      <c r="M70" s="111"/>
      <c r="N70" s="322"/>
      <c r="O70" s="613"/>
      <c r="P70" s="640"/>
    </row>
    <row r="71" spans="1:16" ht="15.5">
      <c r="A71" s="85"/>
      <c r="B71" s="85" t="s">
        <v>174</v>
      </c>
      <c r="C71" s="116"/>
      <c r="D71" s="85"/>
      <c r="E71" s="85"/>
      <c r="F71" s="85"/>
      <c r="G71" s="89">
        <v>0</v>
      </c>
      <c r="H71" s="89">
        <v>0</v>
      </c>
      <c r="I71" s="89">
        <v>0</v>
      </c>
      <c r="J71" s="88">
        <v>0</v>
      </c>
      <c r="K71" s="89">
        <f>+J71*I71</f>
        <v>0</v>
      </c>
      <c r="L71" s="308"/>
      <c r="M71" s="309"/>
      <c r="N71" s="322"/>
      <c r="O71" s="613"/>
      <c r="P71" s="640"/>
    </row>
    <row r="72" spans="1:16" ht="15.5">
      <c r="A72" s="85"/>
      <c r="B72" s="85" t="s">
        <v>175</v>
      </c>
      <c r="C72" s="116"/>
      <c r="D72" s="85"/>
      <c r="E72" s="85"/>
      <c r="F72" s="85"/>
      <c r="G72" s="86">
        <v>1</v>
      </c>
      <c r="H72" s="87">
        <v>2</v>
      </c>
      <c r="I72" s="86">
        <v>4</v>
      </c>
      <c r="J72" s="88">
        <f>0.0025</f>
        <v>2.5000000000000001E-3</v>
      </c>
      <c r="K72" s="89">
        <f>+J72*I72*H72*G72</f>
        <v>0.02</v>
      </c>
      <c r="L72" s="308"/>
      <c r="M72" s="309"/>
      <c r="N72" s="322"/>
      <c r="O72" s="613"/>
      <c r="P72" s="640"/>
    </row>
    <row r="73" spans="1:16" ht="15.5">
      <c r="A73" s="85"/>
      <c r="B73" s="85" t="s">
        <v>184</v>
      </c>
      <c r="C73" s="116"/>
      <c r="D73" s="85"/>
      <c r="E73" s="85"/>
      <c r="F73" s="85"/>
      <c r="G73" s="86">
        <v>1</v>
      </c>
      <c r="H73" s="87">
        <v>2</v>
      </c>
      <c r="I73" s="86">
        <v>1</v>
      </c>
      <c r="J73" s="88">
        <f>0.008</f>
        <v>8.0000000000000002E-3</v>
      </c>
      <c r="K73" s="89">
        <f>+J73*I73*H73*G73</f>
        <v>1.6E-2</v>
      </c>
      <c r="L73" s="308"/>
      <c r="M73" s="309"/>
      <c r="N73" s="322"/>
      <c r="O73" s="613"/>
      <c r="P73" s="640"/>
    </row>
    <row r="74" spans="1:16" ht="15.5">
      <c r="A74" s="90"/>
      <c r="B74" s="90" t="s">
        <v>178</v>
      </c>
      <c r="C74" s="116"/>
      <c r="D74" s="85"/>
      <c r="E74" s="85"/>
      <c r="F74" s="85"/>
      <c r="G74" s="86">
        <v>1</v>
      </c>
      <c r="H74" s="87">
        <v>2</v>
      </c>
      <c r="I74" s="86">
        <v>1</v>
      </c>
      <c r="J74" s="88">
        <f>0.025</f>
        <v>2.5000000000000001E-2</v>
      </c>
      <c r="K74" s="89">
        <f>+J74*I74*H74*G74</f>
        <v>0.05</v>
      </c>
      <c r="L74" s="308"/>
      <c r="M74" s="309"/>
      <c r="N74" s="322"/>
      <c r="O74" s="613"/>
      <c r="P74" s="640"/>
    </row>
    <row r="75" spans="1:16" ht="15.5">
      <c r="A75" s="85"/>
      <c r="B75" s="85" t="s">
        <v>176</v>
      </c>
      <c r="C75" s="116"/>
      <c r="D75" s="85"/>
      <c r="E75" s="85"/>
      <c r="F75" s="85"/>
      <c r="G75" s="89">
        <v>0</v>
      </c>
      <c r="H75" s="89">
        <v>0</v>
      </c>
      <c r="I75" s="89">
        <v>0</v>
      </c>
      <c r="J75" s="88">
        <v>0</v>
      </c>
      <c r="K75" s="89">
        <f>+J75*I75</f>
        <v>0</v>
      </c>
      <c r="L75" s="308"/>
      <c r="M75" s="309"/>
      <c r="N75" s="322"/>
      <c r="O75" s="613"/>
      <c r="P75" s="640"/>
    </row>
    <row r="76" spans="1:16" ht="15.5">
      <c r="A76" s="85"/>
      <c r="B76" s="85" t="s">
        <v>177</v>
      </c>
      <c r="C76" s="116"/>
      <c r="D76" s="85"/>
      <c r="E76" s="85"/>
      <c r="F76" s="85"/>
      <c r="G76" s="89">
        <v>0</v>
      </c>
      <c r="H76" s="89">
        <v>0</v>
      </c>
      <c r="I76" s="89">
        <v>0</v>
      </c>
      <c r="J76" s="88">
        <v>0</v>
      </c>
      <c r="K76" s="89">
        <f>+J76*I76</f>
        <v>0</v>
      </c>
      <c r="L76" s="308"/>
      <c r="M76" s="309"/>
      <c r="N76" s="322"/>
      <c r="O76" s="613"/>
      <c r="P76" s="640"/>
    </row>
    <row r="77" spans="1:16" ht="15.5">
      <c r="A77" s="103"/>
      <c r="B77" s="103" t="s">
        <v>179</v>
      </c>
      <c r="C77" s="118"/>
      <c r="D77" s="104"/>
      <c r="E77" s="104"/>
      <c r="F77" s="104"/>
      <c r="G77" s="122">
        <v>0</v>
      </c>
      <c r="H77" s="122">
        <v>0</v>
      </c>
      <c r="I77" s="122">
        <v>0</v>
      </c>
      <c r="J77" s="125">
        <v>0</v>
      </c>
      <c r="K77" s="122">
        <f>+J77*I77</f>
        <v>0</v>
      </c>
      <c r="L77" s="310"/>
      <c r="M77" s="311"/>
      <c r="N77" s="323"/>
      <c r="O77" s="614"/>
      <c r="P77" s="641"/>
    </row>
    <row r="78" spans="1:16" ht="46.5">
      <c r="A78" s="244"/>
      <c r="B78" s="244" t="s">
        <v>194</v>
      </c>
      <c r="C78" s="245">
        <v>0</v>
      </c>
      <c r="D78" s="245">
        <v>0</v>
      </c>
      <c r="E78" s="245">
        <v>0</v>
      </c>
      <c r="F78" s="245">
        <v>0</v>
      </c>
      <c r="G78" s="246">
        <v>1</v>
      </c>
      <c r="H78" s="247">
        <v>1</v>
      </c>
      <c r="I78" s="246">
        <v>6</v>
      </c>
      <c r="J78" s="248"/>
      <c r="K78" s="239">
        <f>+SUM(K79:K87)</f>
        <v>0.1026</v>
      </c>
      <c r="L78" s="307">
        <f>+SUM(L79:L87)</f>
        <v>0</v>
      </c>
      <c r="M78" s="307">
        <f>+K78-L78</f>
        <v>0.1026</v>
      </c>
      <c r="N78" s="743" t="s">
        <v>150</v>
      </c>
      <c r="O78" s="612" t="s">
        <v>353</v>
      </c>
      <c r="P78" s="629" t="s">
        <v>196</v>
      </c>
    </row>
    <row r="79" spans="1:16" ht="15.5">
      <c r="A79" s="102"/>
      <c r="B79" s="102" t="s">
        <v>172</v>
      </c>
      <c r="C79" s="116"/>
      <c r="D79" s="85"/>
      <c r="E79" s="85"/>
      <c r="F79" s="85"/>
      <c r="G79" s="89">
        <v>0</v>
      </c>
      <c r="H79" s="89">
        <v>0</v>
      </c>
      <c r="I79" s="89">
        <v>0</v>
      </c>
      <c r="J79" s="88">
        <v>0</v>
      </c>
      <c r="K79" s="89">
        <f>+J79*I79</f>
        <v>0</v>
      </c>
      <c r="L79" s="308"/>
      <c r="M79" s="309"/>
      <c r="N79" s="744"/>
      <c r="O79" s="613"/>
      <c r="P79" s="640"/>
    </row>
    <row r="80" spans="1:16" ht="15.5">
      <c r="A80" s="85"/>
      <c r="B80" s="85" t="s">
        <v>173</v>
      </c>
      <c r="C80" s="116"/>
      <c r="D80" s="85"/>
      <c r="E80" s="85"/>
      <c r="F80" s="85"/>
      <c r="G80" s="86">
        <v>1</v>
      </c>
      <c r="H80" s="87">
        <v>1</v>
      </c>
      <c r="I80" s="86">
        <v>6</v>
      </c>
      <c r="J80" s="88">
        <v>2.0999999999999999E-3</v>
      </c>
      <c r="K80" s="85">
        <f>+J80*I80*H80*G80</f>
        <v>1.26E-2</v>
      </c>
      <c r="L80" s="313"/>
      <c r="M80" s="111"/>
      <c r="N80" s="744"/>
      <c r="O80" s="613"/>
      <c r="P80" s="640"/>
    </row>
    <row r="81" spans="1:16" ht="15.5">
      <c r="A81" s="85"/>
      <c r="B81" s="85" t="s">
        <v>174</v>
      </c>
      <c r="C81" s="116"/>
      <c r="D81" s="85"/>
      <c r="E81" s="85"/>
      <c r="F81" s="85"/>
      <c r="G81" s="89">
        <v>0</v>
      </c>
      <c r="H81" s="89">
        <v>0</v>
      </c>
      <c r="I81" s="89">
        <v>0</v>
      </c>
      <c r="J81" s="88">
        <v>0</v>
      </c>
      <c r="K81" s="89">
        <f>+J81*I81</f>
        <v>0</v>
      </c>
      <c r="L81" s="308"/>
      <c r="M81" s="309"/>
      <c r="N81" s="744"/>
      <c r="O81" s="613"/>
      <c r="P81" s="640"/>
    </row>
    <row r="82" spans="1:16" ht="15.5">
      <c r="A82" s="85"/>
      <c r="B82" s="85" t="s">
        <v>175</v>
      </c>
      <c r="C82" s="116"/>
      <c r="D82" s="85"/>
      <c r="E82" s="85"/>
      <c r="F82" s="85"/>
      <c r="G82" s="86">
        <v>1</v>
      </c>
      <c r="H82" s="87">
        <v>1</v>
      </c>
      <c r="I82" s="86">
        <v>4</v>
      </c>
      <c r="J82" s="88">
        <f>0.0025</f>
        <v>2.5000000000000001E-3</v>
      </c>
      <c r="K82" s="89">
        <f>+J82*I82*H82*G82</f>
        <v>0.01</v>
      </c>
      <c r="L82" s="308"/>
      <c r="M82" s="309"/>
      <c r="N82" s="744"/>
      <c r="O82" s="613"/>
      <c r="P82" s="640"/>
    </row>
    <row r="83" spans="1:16" ht="15.5">
      <c r="A83" s="127"/>
      <c r="B83" s="127" t="s">
        <v>184</v>
      </c>
      <c r="C83" s="128"/>
      <c r="D83" s="127"/>
      <c r="E83" s="127"/>
      <c r="F83" s="127"/>
      <c r="G83" s="129">
        <v>1</v>
      </c>
      <c r="H83" s="130">
        <v>1</v>
      </c>
      <c r="I83" s="129">
        <v>1</v>
      </c>
      <c r="J83" s="131">
        <f>0.055</f>
        <v>5.5E-2</v>
      </c>
      <c r="K83" s="132">
        <f>+J83*I83*H83*G83</f>
        <v>5.5E-2</v>
      </c>
      <c r="L83" s="324"/>
      <c r="M83" s="325"/>
      <c r="N83" s="744"/>
      <c r="O83" s="613"/>
      <c r="P83" s="640"/>
    </row>
    <row r="84" spans="1:16" s="100" customFormat="1" ht="15.5">
      <c r="A84" s="133"/>
      <c r="B84" s="133" t="s">
        <v>178</v>
      </c>
      <c r="C84" s="128"/>
      <c r="D84" s="127"/>
      <c r="E84" s="127"/>
      <c r="F84" s="127"/>
      <c r="G84" s="129">
        <v>1</v>
      </c>
      <c r="H84" s="130">
        <v>1</v>
      </c>
      <c r="I84" s="129">
        <v>1</v>
      </c>
      <c r="J84" s="131">
        <f>0.025</f>
        <v>2.5000000000000001E-2</v>
      </c>
      <c r="K84" s="132">
        <f>+J84*I84*H84*G84</f>
        <v>2.5000000000000001E-2</v>
      </c>
      <c r="L84" s="324"/>
      <c r="M84" s="325"/>
      <c r="N84" s="744"/>
      <c r="O84" s="613"/>
      <c r="P84" s="640"/>
    </row>
    <row r="85" spans="1:16" ht="15.5">
      <c r="A85" s="127"/>
      <c r="B85" s="127" t="s">
        <v>176</v>
      </c>
      <c r="C85" s="128"/>
      <c r="D85" s="127"/>
      <c r="E85" s="127"/>
      <c r="F85" s="127"/>
      <c r="G85" s="132">
        <v>0</v>
      </c>
      <c r="H85" s="132">
        <v>0</v>
      </c>
      <c r="I85" s="132">
        <v>0</v>
      </c>
      <c r="J85" s="131">
        <v>0</v>
      </c>
      <c r="K85" s="132">
        <f>+J85*I85</f>
        <v>0</v>
      </c>
      <c r="L85" s="324"/>
      <c r="M85" s="325"/>
      <c r="N85" s="744"/>
      <c r="O85" s="613"/>
      <c r="P85" s="640"/>
    </row>
    <row r="86" spans="1:16" ht="15.5">
      <c r="A86" s="127"/>
      <c r="B86" s="127" t="s">
        <v>177</v>
      </c>
      <c r="C86" s="128"/>
      <c r="D86" s="127"/>
      <c r="E86" s="127"/>
      <c r="F86" s="127"/>
      <c r="G86" s="132">
        <v>0</v>
      </c>
      <c r="H86" s="132">
        <v>0</v>
      </c>
      <c r="I86" s="132">
        <v>0</v>
      </c>
      <c r="J86" s="131">
        <v>0</v>
      </c>
      <c r="K86" s="132">
        <f>+J86*I86</f>
        <v>0</v>
      </c>
      <c r="L86" s="324"/>
      <c r="M86" s="325"/>
      <c r="N86" s="744"/>
      <c r="O86" s="613"/>
      <c r="P86" s="640"/>
    </row>
    <row r="87" spans="1:16" ht="15.5">
      <c r="A87" s="103"/>
      <c r="B87" s="103" t="s">
        <v>179</v>
      </c>
      <c r="C87" s="118"/>
      <c r="D87" s="104"/>
      <c r="E87" s="104"/>
      <c r="F87" s="104"/>
      <c r="G87" s="122">
        <v>0</v>
      </c>
      <c r="H87" s="122">
        <v>0</v>
      </c>
      <c r="I87" s="122">
        <v>0</v>
      </c>
      <c r="J87" s="125">
        <v>0</v>
      </c>
      <c r="K87" s="122">
        <f>+J87*I87</f>
        <v>0</v>
      </c>
      <c r="L87" s="310"/>
      <c r="M87" s="311"/>
      <c r="N87" s="745"/>
      <c r="O87" s="614"/>
      <c r="P87" s="641"/>
    </row>
    <row r="88" spans="1:16" ht="46.5">
      <c r="A88" s="244"/>
      <c r="B88" s="244" t="s">
        <v>293</v>
      </c>
      <c r="C88" s="245">
        <v>0</v>
      </c>
      <c r="D88" s="245">
        <v>0</v>
      </c>
      <c r="E88" s="245">
        <v>0</v>
      </c>
      <c r="F88" s="245">
        <v>0</v>
      </c>
      <c r="G88" s="246">
        <v>1</v>
      </c>
      <c r="H88" s="247">
        <v>5</v>
      </c>
      <c r="I88" s="246">
        <v>6</v>
      </c>
      <c r="J88" s="248"/>
      <c r="K88" s="239">
        <f>+SUM(K89:K98)</f>
        <v>0.57720000000000005</v>
      </c>
      <c r="L88" s="307">
        <f>+SUM(L89:L97)</f>
        <v>0</v>
      </c>
      <c r="M88" s="307">
        <f>+K88-L88</f>
        <v>0.57720000000000005</v>
      </c>
      <c r="N88" s="743" t="s">
        <v>150</v>
      </c>
      <c r="O88" s="612" t="s">
        <v>354</v>
      </c>
      <c r="P88" s="629" t="s">
        <v>200</v>
      </c>
    </row>
    <row r="89" spans="1:16" ht="15.5">
      <c r="A89" s="102"/>
      <c r="B89" s="102" t="s">
        <v>172</v>
      </c>
      <c r="C89" s="116"/>
      <c r="D89" s="85"/>
      <c r="E89" s="85"/>
      <c r="F89" s="85"/>
      <c r="G89" s="86">
        <v>1</v>
      </c>
      <c r="H89" s="87">
        <v>3</v>
      </c>
      <c r="I89" s="86">
        <v>6</v>
      </c>
      <c r="J89" s="88">
        <v>3.0999999999999999E-3</v>
      </c>
      <c r="K89" s="85">
        <f t="shared" ref="K89:K95" si="2">+J89*I89*H89*G89</f>
        <v>5.5800000000000002E-2</v>
      </c>
      <c r="L89" s="313"/>
      <c r="M89" s="111"/>
      <c r="N89" s="744"/>
      <c r="O89" s="613"/>
      <c r="P89" s="640"/>
    </row>
    <row r="90" spans="1:16" ht="15.5">
      <c r="A90" s="85"/>
      <c r="B90" s="85" t="s">
        <v>173</v>
      </c>
      <c r="C90" s="116"/>
      <c r="D90" s="85"/>
      <c r="E90" s="85"/>
      <c r="F90" s="134"/>
      <c r="G90" s="86">
        <v>1</v>
      </c>
      <c r="H90" s="87">
        <v>2</v>
      </c>
      <c r="I90" s="86">
        <v>6</v>
      </c>
      <c r="J90" s="88">
        <v>2.0999999999999999E-3</v>
      </c>
      <c r="K90" s="85">
        <f t="shared" si="2"/>
        <v>2.52E-2</v>
      </c>
      <c r="L90" s="313"/>
      <c r="M90" s="111"/>
      <c r="N90" s="744"/>
      <c r="O90" s="613"/>
      <c r="P90" s="640"/>
    </row>
    <row r="91" spans="1:16" ht="15.5">
      <c r="A91" s="85"/>
      <c r="B91" s="85" t="s">
        <v>174</v>
      </c>
      <c r="C91" s="116"/>
      <c r="D91" s="85"/>
      <c r="E91" s="85"/>
      <c r="F91" s="134"/>
      <c r="G91" s="86">
        <v>1</v>
      </c>
      <c r="H91" s="87">
        <v>1</v>
      </c>
      <c r="I91" s="86">
        <v>5</v>
      </c>
      <c r="J91" s="88">
        <v>7.0000000000000001E-3</v>
      </c>
      <c r="K91" s="116">
        <f t="shared" si="2"/>
        <v>3.5000000000000003E-2</v>
      </c>
      <c r="L91" s="319"/>
      <c r="M91" s="320"/>
      <c r="N91" s="744"/>
      <c r="O91" s="613"/>
      <c r="P91" s="640"/>
    </row>
    <row r="92" spans="1:16" ht="15.5">
      <c r="A92" s="85"/>
      <c r="B92" s="85" t="s">
        <v>174</v>
      </c>
      <c r="C92" s="116"/>
      <c r="D92" s="85"/>
      <c r="E92" s="85"/>
      <c r="F92" s="134"/>
      <c r="G92" s="86">
        <v>1</v>
      </c>
      <c r="H92" s="87">
        <v>2</v>
      </c>
      <c r="I92" s="86">
        <v>5</v>
      </c>
      <c r="J92" s="88">
        <v>4.0000000000000001E-3</v>
      </c>
      <c r="K92" s="116">
        <f t="shared" si="2"/>
        <v>0.04</v>
      </c>
      <c r="L92" s="319"/>
      <c r="M92" s="320"/>
      <c r="N92" s="744"/>
      <c r="O92" s="613"/>
      <c r="P92" s="640"/>
    </row>
    <row r="93" spans="1:16" ht="15.5">
      <c r="A93" s="85"/>
      <c r="B93" s="85" t="s">
        <v>175</v>
      </c>
      <c r="C93" s="116"/>
      <c r="D93" s="85"/>
      <c r="E93" s="85"/>
      <c r="F93" s="134"/>
      <c r="G93" s="86">
        <v>1</v>
      </c>
      <c r="H93" s="87">
        <v>2</v>
      </c>
      <c r="I93" s="86">
        <v>5</v>
      </c>
      <c r="J93" s="88">
        <v>4.0000000000000001E-3</v>
      </c>
      <c r="K93" s="89">
        <f t="shared" si="2"/>
        <v>0.04</v>
      </c>
      <c r="L93" s="308"/>
      <c r="M93" s="309"/>
      <c r="N93" s="744"/>
      <c r="O93" s="613"/>
      <c r="P93" s="640"/>
    </row>
    <row r="94" spans="1:16" ht="15.5">
      <c r="A94" s="85"/>
      <c r="B94" s="85" t="s">
        <v>184</v>
      </c>
      <c r="C94" s="116"/>
      <c r="D94" s="85"/>
      <c r="E94" s="85"/>
      <c r="F94" s="134"/>
      <c r="G94" s="86">
        <v>1</v>
      </c>
      <c r="H94" s="87">
        <v>5</v>
      </c>
      <c r="I94" s="86">
        <v>1</v>
      </c>
      <c r="J94" s="88">
        <f>0.0309</f>
        <v>3.09E-2</v>
      </c>
      <c r="K94" s="89">
        <f t="shared" si="2"/>
        <v>0.1545</v>
      </c>
      <c r="L94" s="308"/>
      <c r="M94" s="309"/>
      <c r="N94" s="744"/>
      <c r="O94" s="613"/>
      <c r="P94" s="640"/>
    </row>
    <row r="95" spans="1:16" s="100" customFormat="1" ht="15.5">
      <c r="A95" s="90"/>
      <c r="B95" s="90" t="s">
        <v>178</v>
      </c>
      <c r="C95" s="135"/>
      <c r="D95" s="136"/>
      <c r="E95" s="136"/>
      <c r="F95" s="137"/>
      <c r="G95" s="86">
        <v>1</v>
      </c>
      <c r="H95" s="87">
        <v>5</v>
      </c>
      <c r="I95" s="86">
        <v>1</v>
      </c>
      <c r="J95" s="88">
        <f>0.04</f>
        <v>0.04</v>
      </c>
      <c r="K95" s="89">
        <f t="shared" si="2"/>
        <v>0.2</v>
      </c>
      <c r="L95" s="308"/>
      <c r="M95" s="309"/>
      <c r="N95" s="744"/>
      <c r="O95" s="613"/>
      <c r="P95" s="640"/>
    </row>
    <row r="96" spans="1:16" ht="15.5">
      <c r="A96" s="85"/>
      <c r="B96" s="85" t="s">
        <v>176</v>
      </c>
      <c r="C96" s="116"/>
      <c r="D96" s="85"/>
      <c r="E96" s="85"/>
      <c r="F96" s="134"/>
      <c r="G96" s="89">
        <v>0</v>
      </c>
      <c r="H96" s="89">
        <v>0</v>
      </c>
      <c r="I96" s="89">
        <v>0</v>
      </c>
      <c r="J96" s="88">
        <v>0</v>
      </c>
      <c r="K96" s="89">
        <f>+J96*I96</f>
        <v>0</v>
      </c>
      <c r="L96" s="308"/>
      <c r="M96" s="309"/>
      <c r="N96" s="744"/>
      <c r="O96" s="613"/>
      <c r="P96" s="640"/>
    </row>
    <row r="97" spans="1:16" ht="15.5">
      <c r="A97" s="85"/>
      <c r="B97" s="85" t="s">
        <v>177</v>
      </c>
      <c r="C97" s="116"/>
      <c r="D97" s="85"/>
      <c r="E97" s="85"/>
      <c r="F97" s="134"/>
      <c r="G97" s="89">
        <v>0</v>
      </c>
      <c r="H97" s="89">
        <v>0</v>
      </c>
      <c r="I97" s="89">
        <v>0</v>
      </c>
      <c r="J97" s="88">
        <v>0</v>
      </c>
      <c r="K97" s="89">
        <f>+J97*I97</f>
        <v>0</v>
      </c>
      <c r="L97" s="308"/>
      <c r="M97" s="309"/>
      <c r="N97" s="744"/>
      <c r="O97" s="613"/>
      <c r="P97" s="640"/>
    </row>
    <row r="98" spans="1:16" ht="15.5">
      <c r="A98" s="103"/>
      <c r="B98" s="103" t="s">
        <v>179</v>
      </c>
      <c r="C98" s="118"/>
      <c r="D98" s="104"/>
      <c r="E98" s="104"/>
      <c r="F98" s="138"/>
      <c r="G98" s="95">
        <v>1</v>
      </c>
      <c r="H98" s="96">
        <v>5</v>
      </c>
      <c r="I98" s="95">
        <v>6</v>
      </c>
      <c r="J98" s="139">
        <v>8.8999999999999995E-4</v>
      </c>
      <c r="K98" s="140">
        <f>+J98*I98*H98*G98</f>
        <v>2.6700000000000002E-2</v>
      </c>
      <c r="L98" s="326"/>
      <c r="M98" s="327"/>
      <c r="N98" s="745"/>
      <c r="O98" s="614"/>
      <c r="P98" s="641"/>
    </row>
    <row r="99" spans="1:16" ht="49">
      <c r="A99" s="244"/>
      <c r="B99" s="244" t="s">
        <v>199</v>
      </c>
      <c r="C99" s="245">
        <v>0</v>
      </c>
      <c r="D99" s="245">
        <v>0</v>
      </c>
      <c r="E99" s="245">
        <v>0</v>
      </c>
      <c r="F99" s="245">
        <v>0</v>
      </c>
      <c r="G99" s="246">
        <v>1</v>
      </c>
      <c r="H99" s="247">
        <v>2</v>
      </c>
      <c r="I99" s="246">
        <v>5</v>
      </c>
      <c r="J99" s="248"/>
      <c r="K99" s="239">
        <f>+SUM(K100:K108)</f>
        <v>0.125</v>
      </c>
      <c r="L99" s="307">
        <f>+SUM(L100:L108)</f>
        <v>0</v>
      </c>
      <c r="M99" s="307">
        <f>+K99-L99</f>
        <v>0.125</v>
      </c>
      <c r="N99" s="743" t="s">
        <v>150</v>
      </c>
      <c r="O99" s="612" t="s">
        <v>355</v>
      </c>
      <c r="P99" s="629" t="s">
        <v>201</v>
      </c>
    </row>
    <row r="100" spans="1:16" ht="15.5">
      <c r="A100" s="102"/>
      <c r="B100" s="102" t="s">
        <v>172</v>
      </c>
      <c r="C100" s="116"/>
      <c r="D100" s="85"/>
      <c r="E100" s="85"/>
      <c r="F100" s="85"/>
      <c r="G100" s="89">
        <v>0</v>
      </c>
      <c r="H100" s="89">
        <v>0</v>
      </c>
      <c r="I100" s="89">
        <v>0</v>
      </c>
      <c r="J100" s="88">
        <v>0</v>
      </c>
      <c r="K100" s="85">
        <f t="shared" ref="K100:K105" si="3">+J100*I100*H100*G100</f>
        <v>0</v>
      </c>
      <c r="L100" s="313"/>
      <c r="M100" s="111"/>
      <c r="N100" s="744"/>
      <c r="O100" s="613"/>
      <c r="P100" s="640"/>
    </row>
    <row r="101" spans="1:16" ht="15.5">
      <c r="A101" s="85"/>
      <c r="B101" s="85" t="s">
        <v>173</v>
      </c>
      <c r="C101" s="116"/>
      <c r="D101" s="85"/>
      <c r="E101" s="85"/>
      <c r="F101" s="134"/>
      <c r="G101" s="86">
        <v>1</v>
      </c>
      <c r="H101" s="87">
        <v>2</v>
      </c>
      <c r="I101" s="86">
        <v>5</v>
      </c>
      <c r="J101" s="88">
        <v>2.0999999999999999E-3</v>
      </c>
      <c r="K101" s="85">
        <f t="shared" si="3"/>
        <v>2.1000000000000001E-2</v>
      </c>
      <c r="L101" s="313"/>
      <c r="M101" s="111"/>
      <c r="N101" s="744"/>
      <c r="O101" s="613"/>
      <c r="P101" s="640"/>
    </row>
    <row r="102" spans="1:16" ht="15.5">
      <c r="A102" s="85"/>
      <c r="B102" s="85" t="s">
        <v>174</v>
      </c>
      <c r="C102" s="116"/>
      <c r="D102" s="85"/>
      <c r="E102" s="85"/>
      <c r="F102" s="134"/>
      <c r="G102" s="89">
        <v>0</v>
      </c>
      <c r="H102" s="89">
        <v>0</v>
      </c>
      <c r="I102" s="89">
        <v>0</v>
      </c>
      <c r="J102" s="88">
        <v>0</v>
      </c>
      <c r="K102" s="116">
        <f t="shared" si="3"/>
        <v>0</v>
      </c>
      <c r="L102" s="319"/>
      <c r="M102" s="320"/>
      <c r="N102" s="744"/>
      <c r="O102" s="613"/>
      <c r="P102" s="640"/>
    </row>
    <row r="103" spans="1:16" ht="15.5">
      <c r="A103" s="85"/>
      <c r="B103" s="85" t="s">
        <v>175</v>
      </c>
      <c r="C103" s="116"/>
      <c r="D103" s="85"/>
      <c r="E103" s="85"/>
      <c r="F103" s="134"/>
      <c r="G103" s="86">
        <v>1</v>
      </c>
      <c r="H103" s="87">
        <v>2</v>
      </c>
      <c r="I103" s="86">
        <v>4</v>
      </c>
      <c r="J103" s="88">
        <v>3.0000000000000001E-3</v>
      </c>
      <c r="K103" s="89">
        <f t="shared" si="3"/>
        <v>2.4E-2</v>
      </c>
      <c r="L103" s="308"/>
      <c r="M103" s="309"/>
      <c r="N103" s="744"/>
      <c r="O103" s="613"/>
      <c r="P103" s="640"/>
    </row>
    <row r="104" spans="1:16" ht="15.5">
      <c r="A104" s="85"/>
      <c r="B104" s="85" t="s">
        <v>184</v>
      </c>
      <c r="C104" s="116"/>
      <c r="D104" s="85"/>
      <c r="E104" s="85"/>
      <c r="F104" s="134"/>
      <c r="G104" s="86">
        <v>1</v>
      </c>
      <c r="H104" s="87">
        <v>2</v>
      </c>
      <c r="I104" s="86">
        <v>1</v>
      </c>
      <c r="J104" s="88">
        <f>0.02</f>
        <v>0.02</v>
      </c>
      <c r="K104" s="89">
        <f t="shared" si="3"/>
        <v>0.04</v>
      </c>
      <c r="L104" s="308"/>
      <c r="M104" s="309"/>
      <c r="N104" s="744"/>
      <c r="O104" s="613"/>
      <c r="P104" s="640"/>
    </row>
    <row r="105" spans="1:16" s="100" customFormat="1" ht="15.5">
      <c r="A105" s="90"/>
      <c r="B105" s="90" t="s">
        <v>178</v>
      </c>
      <c r="C105" s="135"/>
      <c r="D105" s="136"/>
      <c r="E105" s="136"/>
      <c r="F105" s="137"/>
      <c r="G105" s="86">
        <v>1</v>
      </c>
      <c r="H105" s="87">
        <v>2</v>
      </c>
      <c r="I105" s="86">
        <v>1</v>
      </c>
      <c r="J105" s="88">
        <f>0.015</f>
        <v>1.4999999999999999E-2</v>
      </c>
      <c r="K105" s="89">
        <f t="shared" si="3"/>
        <v>0.03</v>
      </c>
      <c r="L105" s="308"/>
      <c r="M105" s="309"/>
      <c r="N105" s="744"/>
      <c r="O105" s="613"/>
      <c r="P105" s="640"/>
    </row>
    <row r="106" spans="1:16" ht="15.5">
      <c r="A106" s="85"/>
      <c r="B106" s="85" t="s">
        <v>176</v>
      </c>
      <c r="C106" s="116"/>
      <c r="D106" s="85"/>
      <c r="E106" s="85"/>
      <c r="F106" s="134"/>
      <c r="G106" s="89">
        <v>0</v>
      </c>
      <c r="H106" s="89">
        <v>0</v>
      </c>
      <c r="I106" s="89">
        <v>0</v>
      </c>
      <c r="J106" s="88">
        <v>0</v>
      </c>
      <c r="K106" s="89">
        <f>+J106*I106</f>
        <v>0</v>
      </c>
      <c r="L106" s="308"/>
      <c r="M106" s="309"/>
      <c r="N106" s="744"/>
      <c r="O106" s="613"/>
      <c r="P106" s="640"/>
    </row>
    <row r="107" spans="1:16" ht="15.5">
      <c r="A107" s="85"/>
      <c r="B107" s="85" t="s">
        <v>177</v>
      </c>
      <c r="C107" s="116"/>
      <c r="D107" s="85"/>
      <c r="E107" s="85"/>
      <c r="F107" s="134"/>
      <c r="G107" s="89">
        <v>0</v>
      </c>
      <c r="H107" s="89">
        <v>0</v>
      </c>
      <c r="I107" s="89">
        <v>0</v>
      </c>
      <c r="J107" s="88">
        <v>0</v>
      </c>
      <c r="K107" s="89">
        <f>+J107*I107</f>
        <v>0</v>
      </c>
      <c r="L107" s="308"/>
      <c r="M107" s="309"/>
      <c r="N107" s="744"/>
      <c r="O107" s="613"/>
      <c r="P107" s="640"/>
    </row>
    <row r="108" spans="1:16" ht="15.5">
      <c r="A108" s="103"/>
      <c r="B108" s="103" t="s">
        <v>179</v>
      </c>
      <c r="C108" s="118"/>
      <c r="D108" s="104"/>
      <c r="E108" s="104"/>
      <c r="F108" s="138"/>
      <c r="G108" s="95">
        <v>1</v>
      </c>
      <c r="H108" s="96">
        <v>2</v>
      </c>
      <c r="I108" s="95">
        <v>5</v>
      </c>
      <c r="J108" s="139">
        <v>1E-3</v>
      </c>
      <c r="K108" s="140">
        <f>+J108*I108*H108*G108</f>
        <v>0.01</v>
      </c>
      <c r="L108" s="326"/>
      <c r="M108" s="327"/>
      <c r="N108" s="745"/>
      <c r="O108" s="614"/>
      <c r="P108" s="641"/>
    </row>
    <row r="109" spans="1:16" ht="49">
      <c r="A109" s="244"/>
      <c r="B109" s="244" t="s">
        <v>294</v>
      </c>
      <c r="C109" s="245">
        <v>0</v>
      </c>
      <c r="D109" s="245">
        <v>0</v>
      </c>
      <c r="E109" s="245">
        <v>0</v>
      </c>
      <c r="F109" s="245">
        <v>0</v>
      </c>
      <c r="G109" s="246">
        <v>1</v>
      </c>
      <c r="H109" s="247">
        <v>1</v>
      </c>
      <c r="I109" s="246">
        <v>6</v>
      </c>
      <c r="J109" s="248"/>
      <c r="K109" s="239">
        <f>+SUM(K110:K118)</f>
        <v>0.12959999999999999</v>
      </c>
      <c r="L109" s="307">
        <f>+SUM(L110:L118)</f>
        <v>0</v>
      </c>
      <c r="M109" s="307">
        <f>+K109-L109</f>
        <v>0.12959999999999999</v>
      </c>
      <c r="N109" s="743" t="s">
        <v>150</v>
      </c>
      <c r="O109" s="612" t="s">
        <v>356</v>
      </c>
      <c r="P109" s="629" t="s">
        <v>203</v>
      </c>
    </row>
    <row r="110" spans="1:16" ht="15.5">
      <c r="A110" s="102"/>
      <c r="B110" s="102" t="s">
        <v>172</v>
      </c>
      <c r="C110" s="116"/>
      <c r="D110" s="85"/>
      <c r="E110" s="85"/>
      <c r="F110" s="85"/>
      <c r="G110" s="89">
        <v>0</v>
      </c>
      <c r="H110" s="89">
        <v>0</v>
      </c>
      <c r="I110" s="89">
        <v>0</v>
      </c>
      <c r="J110" s="88">
        <v>0</v>
      </c>
      <c r="K110" s="89">
        <f>+J110*I110</f>
        <v>0</v>
      </c>
      <c r="L110" s="308"/>
      <c r="M110" s="309"/>
      <c r="N110" s="744"/>
      <c r="O110" s="613"/>
      <c r="P110" s="640"/>
    </row>
    <row r="111" spans="1:16" ht="15.5">
      <c r="A111" s="85"/>
      <c r="B111" s="85" t="s">
        <v>173</v>
      </c>
      <c r="C111" s="116"/>
      <c r="D111" s="85"/>
      <c r="E111" s="85"/>
      <c r="F111" s="134"/>
      <c r="G111" s="86">
        <v>1</v>
      </c>
      <c r="H111" s="87">
        <v>1</v>
      </c>
      <c r="I111" s="86">
        <v>6</v>
      </c>
      <c r="J111" s="88">
        <v>2.0999999999999999E-3</v>
      </c>
      <c r="K111" s="85">
        <f>+J111*I111*H111*G111</f>
        <v>1.26E-2</v>
      </c>
      <c r="L111" s="313"/>
      <c r="M111" s="111"/>
      <c r="N111" s="744"/>
      <c r="O111" s="613"/>
      <c r="P111" s="640"/>
    </row>
    <row r="112" spans="1:16" ht="15.5">
      <c r="A112" s="85"/>
      <c r="B112" s="85" t="s">
        <v>174</v>
      </c>
      <c r="C112" s="116"/>
      <c r="D112" s="85"/>
      <c r="E112" s="85"/>
      <c r="F112" s="134"/>
      <c r="G112" s="89">
        <v>0</v>
      </c>
      <c r="H112" s="89">
        <v>0</v>
      </c>
      <c r="I112" s="89">
        <v>0</v>
      </c>
      <c r="J112" s="88">
        <v>0</v>
      </c>
      <c r="K112" s="89">
        <f>+J112*I112</f>
        <v>0</v>
      </c>
      <c r="L112" s="308"/>
      <c r="M112" s="309"/>
      <c r="N112" s="744"/>
      <c r="O112" s="613"/>
      <c r="P112" s="640"/>
    </row>
    <row r="113" spans="1:16" ht="15.5">
      <c r="A113" s="85"/>
      <c r="B113" s="85" t="s">
        <v>175</v>
      </c>
      <c r="C113" s="116"/>
      <c r="D113" s="85"/>
      <c r="E113" s="85"/>
      <c r="F113" s="134"/>
      <c r="G113" s="86">
        <v>1</v>
      </c>
      <c r="H113" s="87">
        <v>1</v>
      </c>
      <c r="I113" s="86">
        <v>5</v>
      </c>
      <c r="J113" s="88">
        <v>5.0000000000000001E-3</v>
      </c>
      <c r="K113" s="89">
        <f>+J113*I113*H113*G113</f>
        <v>2.5000000000000001E-2</v>
      </c>
      <c r="L113" s="308"/>
      <c r="M113" s="309"/>
      <c r="N113" s="744"/>
      <c r="O113" s="613"/>
      <c r="P113" s="640"/>
    </row>
    <row r="114" spans="1:16" ht="15.5">
      <c r="A114" s="85"/>
      <c r="B114" s="85" t="s">
        <v>184</v>
      </c>
      <c r="C114" s="116"/>
      <c r="D114" s="85"/>
      <c r="E114" s="85"/>
      <c r="F114" s="134"/>
      <c r="G114" s="86">
        <v>1</v>
      </c>
      <c r="H114" s="87">
        <v>1</v>
      </c>
      <c r="I114" s="86">
        <v>1</v>
      </c>
      <c r="J114" s="88">
        <f>0.052</f>
        <v>5.1999999999999998E-2</v>
      </c>
      <c r="K114" s="89">
        <f>+J114*I114*H114*G114</f>
        <v>5.1999999999999998E-2</v>
      </c>
      <c r="L114" s="308"/>
      <c r="M114" s="309"/>
      <c r="N114" s="744"/>
      <c r="O114" s="613"/>
      <c r="P114" s="640"/>
    </row>
    <row r="115" spans="1:16" s="100" customFormat="1" ht="15.5">
      <c r="A115" s="90"/>
      <c r="B115" s="90" t="s">
        <v>178</v>
      </c>
      <c r="C115" s="135"/>
      <c r="D115" s="136"/>
      <c r="E115" s="136"/>
      <c r="F115" s="137"/>
      <c r="G115" s="86">
        <v>1</v>
      </c>
      <c r="H115" s="87">
        <v>1</v>
      </c>
      <c r="I115" s="86">
        <v>1</v>
      </c>
      <c r="J115" s="88">
        <f>0.035</f>
        <v>3.5000000000000003E-2</v>
      </c>
      <c r="K115" s="89">
        <f>+J115*I115*H115*G115</f>
        <v>3.5000000000000003E-2</v>
      </c>
      <c r="L115" s="308"/>
      <c r="M115" s="309"/>
      <c r="N115" s="744"/>
      <c r="O115" s="613"/>
      <c r="P115" s="640"/>
    </row>
    <row r="116" spans="1:16" ht="15.5">
      <c r="A116" s="85"/>
      <c r="B116" s="85" t="s">
        <v>176</v>
      </c>
      <c r="C116" s="116"/>
      <c r="D116" s="85"/>
      <c r="E116" s="85"/>
      <c r="F116" s="134"/>
      <c r="G116" s="89">
        <v>0</v>
      </c>
      <c r="H116" s="89">
        <v>0</v>
      </c>
      <c r="I116" s="89">
        <v>0</v>
      </c>
      <c r="J116" s="88">
        <v>0</v>
      </c>
      <c r="K116" s="89">
        <f>+J116*I116</f>
        <v>0</v>
      </c>
      <c r="L116" s="308"/>
      <c r="M116" s="309"/>
      <c r="N116" s="744"/>
      <c r="O116" s="613"/>
      <c r="P116" s="640"/>
    </row>
    <row r="117" spans="1:16" ht="15.5">
      <c r="A117" s="85"/>
      <c r="B117" s="85" t="s">
        <v>177</v>
      </c>
      <c r="C117" s="116"/>
      <c r="D117" s="85"/>
      <c r="E117" s="85"/>
      <c r="F117" s="134"/>
      <c r="G117" s="89">
        <v>0</v>
      </c>
      <c r="H117" s="89">
        <v>0</v>
      </c>
      <c r="I117" s="89">
        <v>0</v>
      </c>
      <c r="J117" s="88">
        <v>0</v>
      </c>
      <c r="K117" s="89">
        <f>+J117*I117</f>
        <v>0</v>
      </c>
      <c r="L117" s="308"/>
      <c r="M117" s="309"/>
      <c r="N117" s="744"/>
      <c r="O117" s="613"/>
      <c r="P117" s="640"/>
    </row>
    <row r="118" spans="1:16" ht="15.5">
      <c r="A118" s="103"/>
      <c r="B118" s="103" t="s">
        <v>179</v>
      </c>
      <c r="C118" s="118"/>
      <c r="D118" s="104"/>
      <c r="E118" s="104"/>
      <c r="F118" s="138"/>
      <c r="G118" s="95">
        <v>1</v>
      </c>
      <c r="H118" s="96">
        <v>1</v>
      </c>
      <c r="I118" s="95">
        <v>6</v>
      </c>
      <c r="J118" s="139">
        <v>8.3333333333333295E-4</v>
      </c>
      <c r="K118" s="122">
        <f>+J118*I118*H118*G118</f>
        <v>5.0000000000000001E-3</v>
      </c>
      <c r="L118" s="310"/>
      <c r="M118" s="311"/>
      <c r="N118" s="745"/>
      <c r="O118" s="614"/>
      <c r="P118" s="641"/>
    </row>
    <row r="119" spans="1:16" ht="33.5">
      <c r="A119" s="244"/>
      <c r="B119" s="244" t="s">
        <v>295</v>
      </c>
      <c r="C119" s="245">
        <v>0</v>
      </c>
      <c r="D119" s="245">
        <v>0</v>
      </c>
      <c r="E119" s="245">
        <v>0</v>
      </c>
      <c r="F119" s="245">
        <v>0</v>
      </c>
      <c r="G119" s="246">
        <v>1</v>
      </c>
      <c r="H119" s="247">
        <v>1</v>
      </c>
      <c r="I119" s="246">
        <v>5</v>
      </c>
      <c r="J119" s="248"/>
      <c r="K119" s="239">
        <f>+SUM(K120:K128)</f>
        <v>0.11550000000000001</v>
      </c>
      <c r="L119" s="307">
        <f>+SUM(L120:L128)</f>
        <v>0</v>
      </c>
      <c r="M119" s="307">
        <f>+K119-L119</f>
        <v>0.11550000000000001</v>
      </c>
      <c r="N119" s="743" t="s">
        <v>150</v>
      </c>
      <c r="O119" s="612" t="s">
        <v>357</v>
      </c>
      <c r="P119" s="629" t="s">
        <v>204</v>
      </c>
    </row>
    <row r="120" spans="1:16" ht="15.5">
      <c r="A120" s="102"/>
      <c r="B120" s="102" t="s">
        <v>172</v>
      </c>
      <c r="C120" s="116"/>
      <c r="D120" s="85"/>
      <c r="E120" s="85"/>
      <c r="F120" s="85"/>
      <c r="G120" s="86">
        <v>1</v>
      </c>
      <c r="H120" s="87">
        <v>1</v>
      </c>
      <c r="I120" s="86">
        <v>5</v>
      </c>
      <c r="J120" s="88">
        <v>3.0999999999999999E-3</v>
      </c>
      <c r="K120" s="85">
        <f>+J120*I120*H120*G120</f>
        <v>1.55E-2</v>
      </c>
      <c r="L120" s="111"/>
      <c r="M120" s="111"/>
      <c r="N120" s="744"/>
      <c r="O120" s="613"/>
      <c r="P120" s="640"/>
    </row>
    <row r="121" spans="1:16" ht="15.5">
      <c r="A121" s="85"/>
      <c r="B121" s="85" t="s">
        <v>173</v>
      </c>
      <c r="C121" s="116"/>
      <c r="D121" s="85"/>
      <c r="E121" s="85"/>
      <c r="F121" s="134"/>
      <c r="G121" s="89">
        <v>0</v>
      </c>
      <c r="H121" s="89">
        <v>0</v>
      </c>
      <c r="I121" s="89">
        <v>0</v>
      </c>
      <c r="J121" s="88">
        <v>0</v>
      </c>
      <c r="K121" s="89">
        <f>+J121*I121</f>
        <v>0</v>
      </c>
      <c r="L121" s="309"/>
      <c r="M121" s="309"/>
      <c r="N121" s="744"/>
      <c r="O121" s="613"/>
      <c r="P121" s="640"/>
    </row>
    <row r="122" spans="1:16" ht="15.5">
      <c r="A122" s="85"/>
      <c r="B122" s="85" t="s">
        <v>174</v>
      </c>
      <c r="C122" s="116"/>
      <c r="D122" s="85"/>
      <c r="E122" s="85"/>
      <c r="F122" s="134"/>
      <c r="G122" s="86">
        <v>1</v>
      </c>
      <c r="H122" s="87">
        <v>1</v>
      </c>
      <c r="I122" s="86">
        <v>4</v>
      </c>
      <c r="J122" s="88">
        <v>7.4999999999999997E-3</v>
      </c>
      <c r="K122" s="116">
        <f>+J122*I122*H122*G122</f>
        <v>0.03</v>
      </c>
      <c r="L122" s="319"/>
      <c r="M122" s="320"/>
      <c r="N122" s="744"/>
      <c r="O122" s="613"/>
      <c r="P122" s="640"/>
    </row>
    <row r="123" spans="1:16" ht="15.5">
      <c r="A123" s="85"/>
      <c r="B123" s="85" t="s">
        <v>175</v>
      </c>
      <c r="C123" s="116"/>
      <c r="D123" s="85"/>
      <c r="E123" s="85"/>
      <c r="F123" s="134"/>
      <c r="G123" s="89">
        <v>0</v>
      </c>
      <c r="H123" s="89">
        <v>0</v>
      </c>
      <c r="I123" s="89">
        <v>0</v>
      </c>
      <c r="J123" s="88">
        <v>0</v>
      </c>
      <c r="K123" s="89">
        <f>+J123*I123</f>
        <v>0</v>
      </c>
      <c r="L123" s="308"/>
      <c r="M123" s="309"/>
      <c r="N123" s="744"/>
      <c r="O123" s="613"/>
      <c r="P123" s="640"/>
    </row>
    <row r="124" spans="1:16" ht="15.5">
      <c r="A124" s="85"/>
      <c r="B124" s="85" t="s">
        <v>184</v>
      </c>
      <c r="C124" s="116"/>
      <c r="D124" s="85"/>
      <c r="E124" s="85"/>
      <c r="F124" s="134"/>
      <c r="G124" s="86">
        <v>1</v>
      </c>
      <c r="H124" s="87">
        <v>1</v>
      </c>
      <c r="I124" s="86">
        <v>1</v>
      </c>
      <c r="J124" s="88">
        <f>0.065</f>
        <v>6.5000000000000002E-2</v>
      </c>
      <c r="K124" s="89">
        <f>+J124*I124*H124*G124</f>
        <v>6.5000000000000002E-2</v>
      </c>
      <c r="L124" s="308"/>
      <c r="M124" s="309"/>
      <c r="N124" s="744"/>
      <c r="O124" s="613"/>
      <c r="P124" s="640"/>
    </row>
    <row r="125" spans="1:16" s="100" customFormat="1" ht="15.5">
      <c r="A125" s="90"/>
      <c r="B125" s="90" t="s">
        <v>178</v>
      </c>
      <c r="C125" s="135"/>
      <c r="D125" s="136"/>
      <c r="E125" s="136"/>
      <c r="F125" s="137"/>
      <c r="G125" s="89">
        <v>0</v>
      </c>
      <c r="H125" s="89">
        <v>0</v>
      </c>
      <c r="I125" s="89">
        <v>0</v>
      </c>
      <c r="J125" s="88">
        <v>0</v>
      </c>
      <c r="K125" s="89">
        <f>+J125*I125*H125*G125</f>
        <v>0</v>
      </c>
      <c r="L125" s="308"/>
      <c r="M125" s="309"/>
      <c r="N125" s="744"/>
      <c r="O125" s="613"/>
      <c r="P125" s="640"/>
    </row>
    <row r="126" spans="1:16" ht="15.5">
      <c r="A126" s="85"/>
      <c r="B126" s="85" t="s">
        <v>176</v>
      </c>
      <c r="C126" s="116"/>
      <c r="D126" s="85"/>
      <c r="E126" s="85"/>
      <c r="F126" s="134"/>
      <c r="G126" s="89">
        <v>0</v>
      </c>
      <c r="H126" s="89">
        <v>0</v>
      </c>
      <c r="I126" s="89">
        <v>0</v>
      </c>
      <c r="J126" s="88">
        <v>0</v>
      </c>
      <c r="K126" s="89">
        <f>+J126*I126</f>
        <v>0</v>
      </c>
      <c r="L126" s="308"/>
      <c r="M126" s="309"/>
      <c r="N126" s="744"/>
      <c r="O126" s="613"/>
      <c r="P126" s="640"/>
    </row>
    <row r="127" spans="1:16" ht="15.5">
      <c r="A127" s="85"/>
      <c r="B127" s="85" t="s">
        <v>177</v>
      </c>
      <c r="C127" s="116"/>
      <c r="D127" s="85"/>
      <c r="E127" s="85"/>
      <c r="F127" s="134"/>
      <c r="G127" s="89">
        <v>0</v>
      </c>
      <c r="H127" s="89">
        <v>0</v>
      </c>
      <c r="I127" s="89">
        <v>0</v>
      </c>
      <c r="J127" s="88">
        <v>0</v>
      </c>
      <c r="K127" s="89">
        <f>+J127*I127</f>
        <v>0</v>
      </c>
      <c r="L127" s="308"/>
      <c r="M127" s="309"/>
      <c r="N127" s="744"/>
      <c r="O127" s="613"/>
      <c r="P127" s="640"/>
    </row>
    <row r="128" spans="1:16" ht="15.5">
      <c r="A128" s="103"/>
      <c r="B128" s="103" t="s">
        <v>179</v>
      </c>
      <c r="C128" s="118"/>
      <c r="D128" s="104"/>
      <c r="E128" s="104"/>
      <c r="F128" s="138"/>
      <c r="G128" s="95">
        <v>1</v>
      </c>
      <c r="H128" s="96">
        <v>1</v>
      </c>
      <c r="I128" s="95">
        <v>5</v>
      </c>
      <c r="J128" s="139">
        <v>1E-3</v>
      </c>
      <c r="K128" s="140">
        <f>+J128*I128*H128*G128</f>
        <v>5.0000000000000001E-3</v>
      </c>
      <c r="L128" s="326"/>
      <c r="M128" s="327"/>
      <c r="N128" s="745"/>
      <c r="O128" s="614"/>
      <c r="P128" s="641"/>
    </row>
    <row r="129" spans="1:16" s="224" customFormat="1" ht="62">
      <c r="A129" s="194"/>
      <c r="B129" s="194" t="s">
        <v>327</v>
      </c>
      <c r="C129" s="218"/>
      <c r="D129" s="218"/>
      <c r="E129" s="218"/>
      <c r="F129" s="209"/>
      <c r="G129" s="195"/>
      <c r="H129" s="195"/>
      <c r="I129" s="195"/>
      <c r="J129" s="195"/>
      <c r="K129" s="222">
        <f>+K130</f>
        <v>7.3757000000000001</v>
      </c>
      <c r="L129" s="222">
        <f>+L130</f>
        <v>0</v>
      </c>
      <c r="M129" s="222">
        <f>+K129-L129</f>
        <v>7.3757000000000001</v>
      </c>
      <c r="N129" s="328"/>
      <c r="O129" s="195"/>
      <c r="P129" s="195"/>
    </row>
    <row r="130" spans="1:16" s="224" customFormat="1" ht="77.5">
      <c r="A130" s="190"/>
      <c r="B130" s="190" t="s">
        <v>328</v>
      </c>
      <c r="C130" s="225">
        <f>+C132+C141+C156+C165+C177+C186+C195+C204+C214+C224+C235+C246+C257+C268+C279+C288+C299+C308+C319+C329+C340+C351+C363+C375+C384+C394+C404+C414+C424+C435</f>
        <v>4.5932000000000004</v>
      </c>
      <c r="D130" s="225">
        <f>+D132+D141+D156+D165+D177+D186+D195+D204+D214+D224+D235+D246+D257+D268+D279+D288+D299+D308+D319+D329+D340+D351+D363+D375+D384+D394+D404+D414+D424+D435</f>
        <v>3.8259340000000002</v>
      </c>
      <c r="E130" s="225">
        <f>+E132+E141+E156+E165+E177+E186+E195+E204+E214+E224+E235+E246+E257+E268+E279+E288+E299+E308+E319+E329+E340+E351+E363+E375+E384+E394+E404+E414+E424+E435</f>
        <v>4.2416999999999998</v>
      </c>
      <c r="F130" s="226"/>
      <c r="G130" s="191"/>
      <c r="H130" s="191"/>
      <c r="I130" s="191"/>
      <c r="J130" s="191"/>
      <c r="K130" s="225">
        <f>+K132+K141+K156+K165+K177+K186+K195+K204+K214+K224+K235+K246+K257+K268+K279+K288+K299+K308+K319+K329+K340+K351+K363+K375+K384+K394+K404+K414+K424+K435</f>
        <v>7.3757000000000001</v>
      </c>
      <c r="L130" s="225">
        <f>+L131</f>
        <v>0</v>
      </c>
      <c r="M130" s="225">
        <f>+K130-L130</f>
        <v>7.3757000000000001</v>
      </c>
      <c r="N130" s="329"/>
      <c r="O130" s="191"/>
      <c r="P130" s="210"/>
    </row>
    <row r="131" spans="1:16" ht="15.5">
      <c r="A131" s="112"/>
      <c r="B131" s="112" t="s">
        <v>170</v>
      </c>
      <c r="C131" s="115"/>
      <c r="D131" s="113"/>
      <c r="E131" s="113"/>
      <c r="F131" s="113"/>
      <c r="G131" s="113"/>
      <c r="H131" s="113"/>
      <c r="I131" s="113"/>
      <c r="J131" s="113"/>
      <c r="K131" s="113"/>
      <c r="L131" s="330"/>
      <c r="M131" s="113"/>
      <c r="N131" s="331"/>
      <c r="O131" s="113"/>
      <c r="P131" s="113"/>
    </row>
    <row r="132" spans="1:16" ht="31">
      <c r="A132" s="199"/>
      <c r="B132" s="199" t="s">
        <v>206</v>
      </c>
      <c r="C132" s="233">
        <v>0.1779</v>
      </c>
      <c r="D132" s="233">
        <v>0.121752</v>
      </c>
      <c r="E132" s="233">
        <v>0.13500000000000001</v>
      </c>
      <c r="F132" s="240">
        <v>0.13045000000000001</v>
      </c>
      <c r="G132" s="241">
        <v>1</v>
      </c>
      <c r="H132" s="242">
        <v>1</v>
      </c>
      <c r="I132" s="241">
        <v>11</v>
      </c>
      <c r="J132" s="243"/>
      <c r="K132" s="239">
        <f>+SUM(K133:K140)</f>
        <v>0.1239</v>
      </c>
      <c r="L132" s="307">
        <f>+SUM(L133:L140)</f>
        <v>0</v>
      </c>
      <c r="M132" s="307">
        <f>+K132-L132</f>
        <v>0.1239</v>
      </c>
      <c r="N132" s="736" t="s">
        <v>339</v>
      </c>
      <c r="O132" s="612" t="s">
        <v>358</v>
      </c>
      <c r="P132" s="618" t="s">
        <v>237</v>
      </c>
    </row>
    <row r="133" spans="1:16" ht="15.5">
      <c r="A133" s="102"/>
      <c r="B133" s="102" t="s">
        <v>172</v>
      </c>
      <c r="C133" s="116"/>
      <c r="D133" s="85"/>
      <c r="E133" s="85"/>
      <c r="F133" s="85"/>
      <c r="G133" s="86">
        <v>0</v>
      </c>
      <c r="H133" s="87">
        <v>0</v>
      </c>
      <c r="I133" s="86">
        <v>0</v>
      </c>
      <c r="J133" s="88">
        <v>0</v>
      </c>
      <c r="K133" s="89">
        <f>+J133*I133*H133</f>
        <v>0</v>
      </c>
      <c r="L133" s="308"/>
      <c r="M133" s="309"/>
      <c r="N133" s="737"/>
      <c r="O133" s="613"/>
      <c r="P133" s="619"/>
    </row>
    <row r="134" spans="1:16" ht="15.5">
      <c r="A134" s="85"/>
      <c r="B134" s="85" t="s">
        <v>173</v>
      </c>
      <c r="C134" s="116"/>
      <c r="D134" s="85"/>
      <c r="E134" s="85"/>
      <c r="F134" s="85"/>
      <c r="G134" s="86">
        <v>1</v>
      </c>
      <c r="H134" s="87">
        <v>1</v>
      </c>
      <c r="I134" s="86">
        <v>11</v>
      </c>
      <c r="J134" s="88">
        <v>2.0999999999999999E-3</v>
      </c>
      <c r="K134" s="89">
        <f t="shared" ref="K134:K140" si="4">+J134*I134*H134*G134</f>
        <v>2.3099999999999999E-2</v>
      </c>
      <c r="L134" s="308"/>
      <c r="M134" s="309"/>
      <c r="N134" s="737"/>
      <c r="O134" s="613"/>
      <c r="P134" s="619"/>
    </row>
    <row r="135" spans="1:16" ht="15.5">
      <c r="A135" s="85"/>
      <c r="B135" s="85" t="s">
        <v>174</v>
      </c>
      <c r="C135" s="116"/>
      <c r="D135" s="85"/>
      <c r="E135" s="85"/>
      <c r="F135" s="85"/>
      <c r="G135" s="86">
        <v>0</v>
      </c>
      <c r="H135" s="87">
        <v>0</v>
      </c>
      <c r="I135" s="86">
        <v>0</v>
      </c>
      <c r="J135" s="88">
        <v>0</v>
      </c>
      <c r="K135" s="89">
        <f t="shared" si="4"/>
        <v>0</v>
      </c>
      <c r="L135" s="308"/>
      <c r="M135" s="309"/>
      <c r="N135" s="737"/>
      <c r="O135" s="613"/>
      <c r="P135" s="619"/>
    </row>
    <row r="136" spans="1:16" ht="15.5">
      <c r="A136" s="85"/>
      <c r="B136" s="85" t="s">
        <v>175</v>
      </c>
      <c r="C136" s="116"/>
      <c r="D136" s="85"/>
      <c r="E136" s="85"/>
      <c r="F136" s="85"/>
      <c r="G136" s="86">
        <v>1</v>
      </c>
      <c r="H136" s="87">
        <v>1</v>
      </c>
      <c r="I136" s="86">
        <v>9</v>
      </c>
      <c r="J136" s="88">
        <v>5.0000000000000001E-3</v>
      </c>
      <c r="K136" s="89">
        <f t="shared" si="4"/>
        <v>4.4999999999999998E-2</v>
      </c>
      <c r="L136" s="308"/>
      <c r="M136" s="309"/>
      <c r="N136" s="737"/>
      <c r="O136" s="613"/>
      <c r="P136" s="619"/>
    </row>
    <row r="137" spans="1:16" ht="15.5">
      <c r="A137" s="85"/>
      <c r="B137" s="85" t="s">
        <v>184</v>
      </c>
      <c r="C137" s="116"/>
      <c r="D137" s="85"/>
      <c r="E137" s="85"/>
      <c r="F137" s="85"/>
      <c r="G137" s="86">
        <v>1</v>
      </c>
      <c r="H137" s="87">
        <v>1</v>
      </c>
      <c r="I137" s="86">
        <v>1</v>
      </c>
      <c r="J137" s="88">
        <v>4.4999999999999998E-2</v>
      </c>
      <c r="K137" s="89">
        <f t="shared" si="4"/>
        <v>4.4999999999999998E-2</v>
      </c>
      <c r="L137" s="308"/>
      <c r="M137" s="309"/>
      <c r="N137" s="737"/>
      <c r="O137" s="613"/>
      <c r="P137" s="619"/>
    </row>
    <row r="138" spans="1:16" ht="15.5">
      <c r="A138" s="85"/>
      <c r="B138" s="85" t="s">
        <v>176</v>
      </c>
      <c r="C138" s="116"/>
      <c r="D138" s="85"/>
      <c r="E138" s="85"/>
      <c r="F138" s="85"/>
      <c r="G138" s="86">
        <v>0</v>
      </c>
      <c r="H138" s="87">
        <v>0</v>
      </c>
      <c r="I138" s="86">
        <v>0</v>
      </c>
      <c r="J138" s="88">
        <v>0</v>
      </c>
      <c r="K138" s="89">
        <f t="shared" si="4"/>
        <v>0</v>
      </c>
      <c r="L138" s="308"/>
      <c r="M138" s="309"/>
      <c r="N138" s="737"/>
      <c r="O138" s="613"/>
      <c r="P138" s="619"/>
    </row>
    <row r="139" spans="1:16" ht="15.5">
      <c r="A139" s="85"/>
      <c r="B139" s="85" t="s">
        <v>177</v>
      </c>
      <c r="C139" s="116"/>
      <c r="D139" s="85"/>
      <c r="E139" s="85"/>
      <c r="F139" s="85"/>
      <c r="G139" s="86">
        <v>0</v>
      </c>
      <c r="H139" s="87">
        <v>0</v>
      </c>
      <c r="I139" s="86">
        <v>0</v>
      </c>
      <c r="J139" s="88">
        <v>0</v>
      </c>
      <c r="K139" s="89">
        <f t="shared" si="4"/>
        <v>0</v>
      </c>
      <c r="L139" s="308"/>
      <c r="M139" s="309"/>
      <c r="N139" s="737"/>
      <c r="O139" s="613"/>
      <c r="P139" s="619"/>
    </row>
    <row r="140" spans="1:16" ht="15.5">
      <c r="A140" s="104"/>
      <c r="B140" s="104" t="s">
        <v>179</v>
      </c>
      <c r="C140" s="118"/>
      <c r="D140" s="104"/>
      <c r="E140" s="104"/>
      <c r="F140" s="104"/>
      <c r="G140" s="95">
        <v>1</v>
      </c>
      <c r="H140" s="96">
        <v>1</v>
      </c>
      <c r="I140" s="95">
        <v>11</v>
      </c>
      <c r="J140" s="142">
        <f>0.0108/11</f>
        <v>9.8181818181818201E-4</v>
      </c>
      <c r="K140" s="94">
        <f t="shared" si="4"/>
        <v>1.0800000000000001E-2</v>
      </c>
      <c r="L140" s="314"/>
      <c r="M140" s="104"/>
      <c r="N140" s="738"/>
      <c r="O140" s="614"/>
      <c r="P140" s="620"/>
    </row>
    <row r="141" spans="1:16" ht="46.5">
      <c r="A141" s="257"/>
      <c r="B141" s="257" t="s">
        <v>207</v>
      </c>
      <c r="C141" s="250">
        <v>1.1100000000000001</v>
      </c>
      <c r="D141" s="258">
        <v>0.87528499999999998</v>
      </c>
      <c r="E141" s="252">
        <v>0.93500000000000005</v>
      </c>
      <c r="F141" s="332">
        <v>0</v>
      </c>
      <c r="G141" s="260">
        <v>1</v>
      </c>
      <c r="H141" s="261">
        <v>6</v>
      </c>
      <c r="I141" s="260">
        <v>10</v>
      </c>
      <c r="J141" s="262"/>
      <c r="K141" s="263">
        <f>+SUM(K142:K154)</f>
        <v>0.86850000000000005</v>
      </c>
      <c r="L141" s="307">
        <f>+SUM(L142:L149)</f>
        <v>0</v>
      </c>
      <c r="M141" s="307">
        <f>+K141-L141</f>
        <v>0.86850000000000005</v>
      </c>
      <c r="N141" s="736" t="s">
        <v>339</v>
      </c>
      <c r="O141" s="612" t="s">
        <v>359</v>
      </c>
      <c r="P141" s="618" t="s">
        <v>238</v>
      </c>
    </row>
    <row r="142" spans="1:16" ht="15.5">
      <c r="A142" s="102"/>
      <c r="B142" s="102" t="s">
        <v>172</v>
      </c>
      <c r="C142" s="116"/>
      <c r="D142" s="85"/>
      <c r="E142" s="85"/>
      <c r="F142" s="85"/>
      <c r="G142" s="86">
        <v>1</v>
      </c>
      <c r="H142" s="87">
        <v>2</v>
      </c>
      <c r="I142" s="86">
        <v>7</v>
      </c>
      <c r="J142" s="88">
        <v>3.0999999999999999E-3</v>
      </c>
      <c r="K142" s="89">
        <f t="shared" ref="K142:K154" si="5">+J142*I142*H142*G142</f>
        <v>4.3400000000000001E-2</v>
      </c>
      <c r="L142" s="308"/>
      <c r="M142" s="309"/>
      <c r="N142" s="737"/>
      <c r="O142" s="613"/>
      <c r="P142" s="619"/>
    </row>
    <row r="143" spans="1:16" ht="15.5">
      <c r="A143" s="102"/>
      <c r="B143" s="102" t="s">
        <v>172</v>
      </c>
      <c r="C143" s="116"/>
      <c r="D143" s="85"/>
      <c r="E143" s="85"/>
      <c r="F143" s="85"/>
      <c r="G143" s="86">
        <v>1</v>
      </c>
      <c r="H143" s="87">
        <v>1</v>
      </c>
      <c r="I143" s="86">
        <v>5</v>
      </c>
      <c r="J143" s="88">
        <v>3.0999999999999999E-3</v>
      </c>
      <c r="K143" s="89">
        <f t="shared" si="5"/>
        <v>1.55E-2</v>
      </c>
      <c r="L143" s="308"/>
      <c r="M143" s="309"/>
      <c r="N143" s="737"/>
      <c r="O143" s="613"/>
      <c r="P143" s="619"/>
    </row>
    <row r="144" spans="1:16" ht="15.5">
      <c r="A144" s="85"/>
      <c r="B144" s="85" t="s">
        <v>173</v>
      </c>
      <c r="C144" s="116"/>
      <c r="D144" s="85"/>
      <c r="E144" s="85"/>
      <c r="F144" s="85"/>
      <c r="G144" s="86">
        <v>1</v>
      </c>
      <c r="H144" s="87">
        <v>3</v>
      </c>
      <c r="I144" s="86">
        <v>10</v>
      </c>
      <c r="J144" s="88">
        <v>2.0999999999999999E-3</v>
      </c>
      <c r="K144" s="89">
        <f t="shared" si="5"/>
        <v>6.3E-2</v>
      </c>
      <c r="L144" s="308"/>
      <c r="M144" s="309"/>
      <c r="N144" s="737"/>
      <c r="O144" s="613"/>
      <c r="P144" s="619"/>
    </row>
    <row r="145" spans="1:16" ht="15.5">
      <c r="A145" s="85"/>
      <c r="B145" s="85" t="s">
        <v>174</v>
      </c>
      <c r="C145" s="116"/>
      <c r="D145" s="85"/>
      <c r="E145" s="85"/>
      <c r="F145" s="85"/>
      <c r="G145" s="86">
        <v>1</v>
      </c>
      <c r="H145" s="87">
        <v>2</v>
      </c>
      <c r="I145" s="86">
        <v>7</v>
      </c>
      <c r="J145" s="88">
        <v>8.0000000000000002E-3</v>
      </c>
      <c r="K145" s="89">
        <f t="shared" si="5"/>
        <v>0.112</v>
      </c>
      <c r="L145" s="308"/>
      <c r="M145" s="309"/>
      <c r="N145" s="737"/>
      <c r="O145" s="613"/>
      <c r="P145" s="619"/>
    </row>
    <row r="146" spans="1:16" ht="15.5">
      <c r="A146" s="85"/>
      <c r="B146" s="85" t="s">
        <v>174</v>
      </c>
      <c r="C146" s="116"/>
      <c r="D146" s="85"/>
      <c r="E146" s="85"/>
      <c r="F146" s="85"/>
      <c r="G146" s="86">
        <v>1</v>
      </c>
      <c r="H146" s="87">
        <v>1</v>
      </c>
      <c r="I146" s="86">
        <v>4</v>
      </c>
      <c r="J146" s="88">
        <v>7.0000000000000001E-3</v>
      </c>
      <c r="K146" s="89">
        <f t="shared" si="5"/>
        <v>2.8000000000000001E-2</v>
      </c>
      <c r="L146" s="308"/>
      <c r="M146" s="309"/>
      <c r="N146" s="737"/>
      <c r="O146" s="613"/>
      <c r="P146" s="619"/>
    </row>
    <row r="147" spans="1:16" ht="15.5">
      <c r="A147" s="85"/>
      <c r="B147" s="85" t="s">
        <v>175</v>
      </c>
      <c r="C147" s="116"/>
      <c r="D147" s="85"/>
      <c r="E147" s="85"/>
      <c r="F147" s="85"/>
      <c r="G147" s="86">
        <v>1</v>
      </c>
      <c r="H147" s="87">
        <v>3</v>
      </c>
      <c r="I147" s="86">
        <v>9</v>
      </c>
      <c r="J147" s="88">
        <v>5.0000000000000001E-3</v>
      </c>
      <c r="K147" s="89">
        <f t="shared" si="5"/>
        <v>0.13500000000000001</v>
      </c>
      <c r="L147" s="308"/>
      <c r="M147" s="309"/>
      <c r="N147" s="737"/>
      <c r="O147" s="613"/>
      <c r="P147" s="619"/>
    </row>
    <row r="148" spans="1:16" ht="15.5">
      <c r="A148" s="85"/>
      <c r="B148" s="85" t="s">
        <v>184</v>
      </c>
      <c r="C148" s="116"/>
      <c r="D148" s="85"/>
      <c r="E148" s="85"/>
      <c r="F148" s="85"/>
      <c r="G148" s="86">
        <v>1</v>
      </c>
      <c r="H148" s="87">
        <v>2</v>
      </c>
      <c r="I148" s="86">
        <v>1</v>
      </c>
      <c r="J148" s="88">
        <v>0.1187</v>
      </c>
      <c r="K148" s="89">
        <f t="shared" si="5"/>
        <v>0.2374</v>
      </c>
      <c r="L148" s="308"/>
      <c r="M148" s="309"/>
      <c r="N148" s="737"/>
      <c r="O148" s="613"/>
      <c r="P148" s="619"/>
    </row>
    <row r="149" spans="1:16" ht="15.5">
      <c r="A149" s="85"/>
      <c r="B149" s="85" t="s">
        <v>184</v>
      </c>
      <c r="C149" s="116"/>
      <c r="D149" s="85"/>
      <c r="E149" s="85"/>
      <c r="F149" s="85"/>
      <c r="G149" s="86">
        <v>1</v>
      </c>
      <c r="H149" s="87">
        <v>4</v>
      </c>
      <c r="I149" s="86">
        <v>1</v>
      </c>
      <c r="J149" s="88">
        <v>4.4999999999999998E-2</v>
      </c>
      <c r="K149" s="89">
        <f t="shared" si="5"/>
        <v>0.18</v>
      </c>
      <c r="L149" s="308"/>
      <c r="M149" s="309"/>
      <c r="N149" s="737"/>
      <c r="O149" s="613"/>
      <c r="P149" s="619"/>
    </row>
    <row r="150" spans="1:16" ht="15.5">
      <c r="A150" s="85"/>
      <c r="B150" s="85" t="s">
        <v>176</v>
      </c>
      <c r="C150" s="116"/>
      <c r="D150" s="85"/>
      <c r="E150" s="85"/>
      <c r="F150" s="85"/>
      <c r="G150" s="89">
        <v>0</v>
      </c>
      <c r="H150" s="89">
        <v>0</v>
      </c>
      <c r="I150" s="89">
        <v>0</v>
      </c>
      <c r="J150" s="88">
        <v>0</v>
      </c>
      <c r="K150" s="89">
        <f t="shared" si="5"/>
        <v>0</v>
      </c>
      <c r="L150" s="308"/>
      <c r="M150" s="309"/>
      <c r="N150" s="737"/>
      <c r="O150" s="613"/>
      <c r="P150" s="619"/>
    </row>
    <row r="151" spans="1:16" ht="15.5">
      <c r="A151" s="85"/>
      <c r="B151" s="85" t="s">
        <v>177</v>
      </c>
      <c r="C151" s="116"/>
      <c r="D151" s="85"/>
      <c r="E151" s="85"/>
      <c r="F151" s="85"/>
      <c r="G151" s="89">
        <v>0</v>
      </c>
      <c r="H151" s="89">
        <v>0</v>
      </c>
      <c r="I151" s="89">
        <v>0</v>
      </c>
      <c r="J151" s="88">
        <v>0</v>
      </c>
      <c r="K151" s="89">
        <f t="shared" si="5"/>
        <v>0</v>
      </c>
      <c r="L151" s="308"/>
      <c r="M151" s="309"/>
      <c r="N151" s="737"/>
      <c r="O151" s="613"/>
      <c r="P151" s="619"/>
    </row>
    <row r="152" spans="1:16" ht="15.5">
      <c r="A152" s="85"/>
      <c r="B152" s="85" t="s">
        <v>209</v>
      </c>
      <c r="C152" s="116"/>
      <c r="D152" s="85"/>
      <c r="E152" s="85"/>
      <c r="F152" s="85"/>
      <c r="G152" s="86">
        <v>1</v>
      </c>
      <c r="H152" s="87">
        <v>2</v>
      </c>
      <c r="I152" s="86">
        <v>7</v>
      </c>
      <c r="J152" s="143">
        <f>0.0079/7</f>
        <v>1.12857142857143E-3</v>
      </c>
      <c r="K152" s="85">
        <f t="shared" si="5"/>
        <v>1.5800000000000002E-2</v>
      </c>
      <c r="L152" s="313"/>
      <c r="M152" s="111"/>
      <c r="N152" s="737"/>
      <c r="O152" s="613"/>
      <c r="P152" s="619"/>
    </row>
    <row r="153" spans="1:16" ht="15.5">
      <c r="A153" s="85"/>
      <c r="B153" s="85" t="s">
        <v>211</v>
      </c>
      <c r="C153" s="116"/>
      <c r="D153" s="85"/>
      <c r="E153" s="85"/>
      <c r="F153" s="85"/>
      <c r="G153" s="86">
        <v>1</v>
      </c>
      <c r="H153" s="87">
        <v>3</v>
      </c>
      <c r="I153" s="86">
        <v>10</v>
      </c>
      <c r="J153" s="143">
        <f>0.0108/10</f>
        <v>1.08E-3</v>
      </c>
      <c r="K153" s="85">
        <f t="shared" si="5"/>
        <v>3.2399999999999998E-2</v>
      </c>
      <c r="L153" s="313"/>
      <c r="M153" s="111"/>
      <c r="N153" s="737"/>
      <c r="O153" s="613"/>
      <c r="P153" s="619"/>
    </row>
    <row r="154" spans="1:16" ht="15.5">
      <c r="A154" s="85"/>
      <c r="B154" s="85" t="s">
        <v>210</v>
      </c>
      <c r="C154" s="116"/>
      <c r="D154" s="85"/>
      <c r="E154" s="85"/>
      <c r="F154" s="85"/>
      <c r="G154" s="86">
        <v>1</v>
      </c>
      <c r="H154" s="87">
        <v>1</v>
      </c>
      <c r="I154" s="86">
        <v>5</v>
      </c>
      <c r="J154" s="143">
        <f>0.006/5</f>
        <v>1.1999999999999999E-3</v>
      </c>
      <c r="K154" s="85">
        <f t="shared" si="5"/>
        <v>6.0000000000000001E-3</v>
      </c>
      <c r="L154" s="313"/>
      <c r="M154" s="111"/>
      <c r="N154" s="737"/>
      <c r="O154" s="613"/>
      <c r="P154" s="619"/>
    </row>
    <row r="155" spans="1:16" ht="15.5">
      <c r="A155" s="94"/>
      <c r="B155" s="94"/>
      <c r="C155" s="124"/>
      <c r="D155" s="94"/>
      <c r="E155" s="94"/>
      <c r="F155" s="94"/>
      <c r="G155" s="95"/>
      <c r="H155" s="96"/>
      <c r="I155" s="95"/>
      <c r="J155" s="142"/>
      <c r="K155" s="94"/>
      <c r="L155" s="314"/>
      <c r="M155" s="104"/>
      <c r="N155" s="738"/>
      <c r="O155" s="614"/>
      <c r="P155" s="620"/>
    </row>
    <row r="156" spans="1:16" ht="31">
      <c r="A156" s="199"/>
      <c r="B156" s="199" t="s">
        <v>212</v>
      </c>
      <c r="C156" s="245">
        <v>0</v>
      </c>
      <c r="D156" s="245">
        <v>0</v>
      </c>
      <c r="E156" s="259">
        <v>9.0800000000000006E-2</v>
      </c>
      <c r="F156" s="252">
        <v>8.2396999999999998E-2</v>
      </c>
      <c r="G156" s="241">
        <v>1</v>
      </c>
      <c r="H156" s="242">
        <v>2</v>
      </c>
      <c r="I156" s="241">
        <v>3</v>
      </c>
      <c r="J156" s="243"/>
      <c r="K156" s="239">
        <f>+SUM(K157:K164)</f>
        <v>8.8700000000000001E-2</v>
      </c>
      <c r="L156" s="307">
        <f>+SUM(L157:L164)</f>
        <v>0</v>
      </c>
      <c r="M156" s="307">
        <f>+K156-L156</f>
        <v>8.8700000000000001E-2</v>
      </c>
      <c r="N156" s="736" t="s">
        <v>340</v>
      </c>
      <c r="O156" s="612" t="s">
        <v>360</v>
      </c>
      <c r="P156" s="618" t="s">
        <v>239</v>
      </c>
    </row>
    <row r="157" spans="1:16" ht="15.5">
      <c r="A157" s="102"/>
      <c r="B157" s="102" t="s">
        <v>172</v>
      </c>
      <c r="C157" s="116"/>
      <c r="D157" s="85"/>
      <c r="E157" s="85"/>
      <c r="F157" s="85"/>
      <c r="G157" s="86">
        <v>1</v>
      </c>
      <c r="H157" s="87">
        <v>1</v>
      </c>
      <c r="I157" s="86">
        <v>3</v>
      </c>
      <c r="J157" s="88">
        <v>3.0999999999999999E-3</v>
      </c>
      <c r="K157" s="89">
        <f>+J157*I157*H157</f>
        <v>9.2999999999999992E-3</v>
      </c>
      <c r="L157" s="308"/>
      <c r="M157" s="309"/>
      <c r="N157" s="741"/>
      <c r="O157" s="613"/>
      <c r="P157" s="619"/>
    </row>
    <row r="158" spans="1:16" ht="15.5">
      <c r="A158" s="85"/>
      <c r="B158" s="85" t="s">
        <v>173</v>
      </c>
      <c r="C158" s="116"/>
      <c r="D158" s="85"/>
      <c r="E158" s="85"/>
      <c r="F158" s="85"/>
      <c r="G158" s="86">
        <v>1</v>
      </c>
      <c r="H158" s="87">
        <v>1</v>
      </c>
      <c r="I158" s="86">
        <v>3</v>
      </c>
      <c r="J158" s="88">
        <v>2.0999999999999999E-3</v>
      </c>
      <c r="K158" s="89">
        <f t="shared" ref="K158:K164" si="6">+J158*I158*H158*G158</f>
        <v>6.3E-3</v>
      </c>
      <c r="L158" s="308"/>
      <c r="M158" s="309"/>
      <c r="N158" s="741"/>
      <c r="O158" s="613"/>
      <c r="P158" s="619"/>
    </row>
    <row r="159" spans="1:16" ht="15.5">
      <c r="A159" s="85"/>
      <c r="B159" s="85" t="s">
        <v>174</v>
      </c>
      <c r="C159" s="116"/>
      <c r="D159" s="85"/>
      <c r="E159" s="85"/>
      <c r="F159" s="85"/>
      <c r="G159" s="86">
        <v>1</v>
      </c>
      <c r="H159" s="87">
        <v>1</v>
      </c>
      <c r="I159" s="86">
        <v>3</v>
      </c>
      <c r="J159" s="88">
        <v>7.4999999999999997E-3</v>
      </c>
      <c r="K159" s="89">
        <f t="shared" si="6"/>
        <v>2.2499999999999999E-2</v>
      </c>
      <c r="L159" s="308"/>
      <c r="M159" s="309"/>
      <c r="N159" s="741"/>
      <c r="O159" s="613"/>
      <c r="P159" s="619"/>
    </row>
    <row r="160" spans="1:16" ht="15.5">
      <c r="A160" s="85"/>
      <c r="B160" s="85" t="s">
        <v>175</v>
      </c>
      <c r="C160" s="116"/>
      <c r="D160" s="85"/>
      <c r="E160" s="85"/>
      <c r="F160" s="85"/>
      <c r="G160" s="86">
        <v>1</v>
      </c>
      <c r="H160" s="87">
        <v>1</v>
      </c>
      <c r="I160" s="86">
        <v>3</v>
      </c>
      <c r="J160" s="88">
        <v>5.0000000000000001E-3</v>
      </c>
      <c r="K160" s="89">
        <f t="shared" si="6"/>
        <v>1.4999999999999999E-2</v>
      </c>
      <c r="L160" s="308"/>
      <c r="M160" s="309"/>
      <c r="N160" s="741"/>
      <c r="O160" s="613"/>
      <c r="P160" s="619"/>
    </row>
    <row r="161" spans="1:16" ht="15.5">
      <c r="A161" s="85"/>
      <c r="B161" s="85" t="s">
        <v>184</v>
      </c>
      <c r="C161" s="116"/>
      <c r="D161" s="85"/>
      <c r="E161" s="85"/>
      <c r="F161" s="85"/>
      <c r="G161" s="86">
        <v>1</v>
      </c>
      <c r="H161" s="87">
        <v>2</v>
      </c>
      <c r="I161" s="86">
        <v>1</v>
      </c>
      <c r="J161" s="88">
        <v>1.4E-2</v>
      </c>
      <c r="K161" s="89">
        <f t="shared" si="6"/>
        <v>2.8000000000000001E-2</v>
      </c>
      <c r="L161" s="308"/>
      <c r="M161" s="309"/>
      <c r="N161" s="741"/>
      <c r="O161" s="613"/>
      <c r="P161" s="619"/>
    </row>
    <row r="162" spans="1:16" ht="15.5">
      <c r="A162" s="85"/>
      <c r="B162" s="85" t="s">
        <v>176</v>
      </c>
      <c r="C162" s="116"/>
      <c r="D162" s="85"/>
      <c r="E162" s="85"/>
      <c r="F162" s="85"/>
      <c r="G162" s="89">
        <v>0</v>
      </c>
      <c r="H162" s="89">
        <v>0</v>
      </c>
      <c r="I162" s="89">
        <v>0</v>
      </c>
      <c r="J162" s="89">
        <v>0</v>
      </c>
      <c r="K162" s="89">
        <f t="shared" si="6"/>
        <v>0</v>
      </c>
      <c r="L162" s="308"/>
      <c r="M162" s="309"/>
      <c r="N162" s="741"/>
      <c r="O162" s="613"/>
      <c r="P162" s="619"/>
    </row>
    <row r="163" spans="1:16" ht="15.5">
      <c r="A163" s="85"/>
      <c r="B163" s="85" t="s">
        <v>177</v>
      </c>
      <c r="C163" s="116"/>
      <c r="D163" s="85"/>
      <c r="E163" s="85"/>
      <c r="F163" s="85"/>
      <c r="G163" s="89">
        <v>0</v>
      </c>
      <c r="H163" s="89">
        <v>0</v>
      </c>
      <c r="I163" s="89">
        <v>0</v>
      </c>
      <c r="J163" s="89">
        <v>0</v>
      </c>
      <c r="K163" s="89">
        <f t="shared" si="6"/>
        <v>0</v>
      </c>
      <c r="L163" s="308"/>
      <c r="M163" s="309"/>
      <c r="N163" s="741"/>
      <c r="O163" s="613"/>
      <c r="P163" s="619"/>
    </row>
    <row r="164" spans="1:16" ht="15.5">
      <c r="A164" s="104"/>
      <c r="B164" s="104" t="s">
        <v>179</v>
      </c>
      <c r="C164" s="118"/>
      <c r="D164" s="104"/>
      <c r="E164" s="104"/>
      <c r="F164" s="104"/>
      <c r="G164" s="105">
        <v>1</v>
      </c>
      <c r="H164" s="106">
        <v>2</v>
      </c>
      <c r="I164" s="105">
        <v>3</v>
      </c>
      <c r="J164" s="144">
        <f>0.0038/3</f>
        <v>1.2666666666666701E-3</v>
      </c>
      <c r="K164" s="145">
        <f t="shared" si="6"/>
        <v>7.6E-3</v>
      </c>
      <c r="L164" s="333"/>
      <c r="M164" s="334"/>
      <c r="N164" s="742"/>
      <c r="O164" s="614"/>
      <c r="P164" s="620"/>
    </row>
    <row r="165" spans="1:16" ht="62">
      <c r="A165" s="264"/>
      <c r="B165" s="264" t="s">
        <v>213</v>
      </c>
      <c r="C165" s="265">
        <v>0.51770000000000005</v>
      </c>
      <c r="D165" s="266">
        <v>0.49613099999999999</v>
      </c>
      <c r="E165" s="249">
        <v>9.2399999999999996E-2</v>
      </c>
      <c r="F165" s="240" t="s">
        <v>208</v>
      </c>
      <c r="G165" s="246">
        <v>1</v>
      </c>
      <c r="H165" s="247">
        <v>8</v>
      </c>
      <c r="I165" s="246">
        <v>4</v>
      </c>
      <c r="J165" s="267"/>
      <c r="K165" s="239">
        <f>+SUM(K166:K176)</f>
        <v>0.37080000000000002</v>
      </c>
      <c r="L165" s="307">
        <f>+SUM(L166:L173)</f>
        <v>0</v>
      </c>
      <c r="M165" s="307">
        <f>+K165-L165</f>
        <v>0.37080000000000002</v>
      </c>
      <c r="N165" s="736" t="s">
        <v>329</v>
      </c>
      <c r="O165" s="612" t="s">
        <v>361</v>
      </c>
      <c r="P165" s="618" t="s">
        <v>240</v>
      </c>
    </row>
    <row r="166" spans="1:16" ht="15.5">
      <c r="A166" s="102"/>
      <c r="B166" s="102" t="s">
        <v>172</v>
      </c>
      <c r="C166" s="116"/>
      <c r="D166" s="85"/>
      <c r="E166" s="85"/>
      <c r="F166" s="85"/>
      <c r="G166" s="86">
        <v>1</v>
      </c>
      <c r="H166" s="87">
        <v>7</v>
      </c>
      <c r="I166" s="86">
        <v>4</v>
      </c>
      <c r="J166" s="88">
        <v>3.0999999999999999E-3</v>
      </c>
      <c r="K166" s="89">
        <f>+J166*I166*H166</f>
        <v>8.6800000000000002E-2</v>
      </c>
      <c r="L166" s="308"/>
      <c r="M166" s="309"/>
      <c r="N166" s="737"/>
      <c r="O166" s="613"/>
      <c r="P166" s="619"/>
    </row>
    <row r="167" spans="1:16" ht="15.5">
      <c r="A167" s="85"/>
      <c r="B167" s="85" t="s">
        <v>173</v>
      </c>
      <c r="C167" s="116"/>
      <c r="D167" s="85"/>
      <c r="E167" s="85"/>
      <c r="F167" s="85"/>
      <c r="G167" s="86">
        <v>1</v>
      </c>
      <c r="H167" s="87">
        <v>1</v>
      </c>
      <c r="I167" s="86">
        <v>4</v>
      </c>
      <c r="J167" s="88">
        <v>2.0999999999999999E-3</v>
      </c>
      <c r="K167" s="89">
        <f t="shared" ref="K167:K176" si="7">+J167*I167*H167*G167</f>
        <v>8.3999999999999995E-3</v>
      </c>
      <c r="L167" s="308"/>
      <c r="M167" s="309"/>
      <c r="N167" s="737"/>
      <c r="O167" s="613"/>
      <c r="P167" s="619"/>
    </row>
    <row r="168" spans="1:16" ht="15.5">
      <c r="A168" s="85"/>
      <c r="B168" s="85" t="s">
        <v>174</v>
      </c>
      <c r="C168" s="116"/>
      <c r="D168" s="85"/>
      <c r="E168" s="85"/>
      <c r="F168" s="85"/>
      <c r="G168" s="86">
        <v>1</v>
      </c>
      <c r="H168" s="87">
        <v>2</v>
      </c>
      <c r="I168" s="86">
        <v>3</v>
      </c>
      <c r="J168" s="88">
        <v>5.0000000000000001E-3</v>
      </c>
      <c r="K168" s="89">
        <f t="shared" si="7"/>
        <v>0.03</v>
      </c>
      <c r="L168" s="308"/>
      <c r="M168" s="309"/>
      <c r="N168" s="737"/>
      <c r="O168" s="613"/>
      <c r="P168" s="619"/>
    </row>
    <row r="169" spans="1:16" ht="15.5">
      <c r="A169" s="85"/>
      <c r="B169" s="85" t="s">
        <v>174</v>
      </c>
      <c r="C169" s="116"/>
      <c r="D169" s="85"/>
      <c r="E169" s="85"/>
      <c r="F169" s="85"/>
      <c r="G169" s="86">
        <v>1</v>
      </c>
      <c r="H169" s="87">
        <v>5</v>
      </c>
      <c r="I169" s="86">
        <v>3</v>
      </c>
      <c r="J169" s="88">
        <v>3.5000000000000001E-3</v>
      </c>
      <c r="K169" s="89">
        <f t="shared" si="7"/>
        <v>5.2499999999999998E-2</v>
      </c>
      <c r="L169" s="308"/>
      <c r="M169" s="309"/>
      <c r="N169" s="737"/>
      <c r="O169" s="613"/>
      <c r="P169" s="619"/>
    </row>
    <row r="170" spans="1:16" ht="15.5">
      <c r="A170" s="85"/>
      <c r="B170" s="85" t="s">
        <v>175</v>
      </c>
      <c r="C170" s="116"/>
      <c r="D170" s="85"/>
      <c r="E170" s="85"/>
      <c r="F170" s="85"/>
      <c r="G170" s="86">
        <v>1</v>
      </c>
      <c r="H170" s="87">
        <v>1</v>
      </c>
      <c r="I170" s="86">
        <v>3</v>
      </c>
      <c r="J170" s="88">
        <v>3.5000000000000001E-3</v>
      </c>
      <c r="K170" s="89">
        <f t="shared" si="7"/>
        <v>1.0500000000000001E-2</v>
      </c>
      <c r="L170" s="308"/>
      <c r="M170" s="309"/>
      <c r="N170" s="737"/>
      <c r="O170" s="613"/>
      <c r="P170" s="619"/>
    </row>
    <row r="171" spans="1:16" ht="15.5">
      <c r="A171" s="85"/>
      <c r="B171" s="85" t="s">
        <v>184</v>
      </c>
      <c r="C171" s="116"/>
      <c r="D171" s="85"/>
      <c r="E171" s="85"/>
      <c r="F171" s="85"/>
      <c r="G171" s="86">
        <v>1</v>
      </c>
      <c r="H171" s="87">
        <v>1</v>
      </c>
      <c r="I171" s="86">
        <v>1</v>
      </c>
      <c r="J171" s="88">
        <v>2.1999999999999999E-2</v>
      </c>
      <c r="K171" s="89">
        <f t="shared" si="7"/>
        <v>2.1999999999999999E-2</v>
      </c>
      <c r="L171" s="308"/>
      <c r="M171" s="309"/>
      <c r="N171" s="737"/>
      <c r="O171" s="613"/>
      <c r="P171" s="619"/>
    </row>
    <row r="172" spans="1:16" ht="15.5">
      <c r="A172" s="85"/>
      <c r="B172" s="85" t="s">
        <v>184</v>
      </c>
      <c r="C172" s="116"/>
      <c r="D172" s="85"/>
      <c r="E172" s="85"/>
      <c r="F172" s="85"/>
      <c r="G172" s="86">
        <v>1</v>
      </c>
      <c r="H172" s="87">
        <v>7</v>
      </c>
      <c r="I172" s="86">
        <v>1</v>
      </c>
      <c r="J172" s="88">
        <v>1.4E-2</v>
      </c>
      <c r="K172" s="89">
        <f t="shared" si="7"/>
        <v>9.8000000000000004E-2</v>
      </c>
      <c r="L172" s="308"/>
      <c r="M172" s="309"/>
      <c r="N172" s="737"/>
      <c r="O172" s="613"/>
      <c r="P172" s="619"/>
    </row>
    <row r="173" spans="1:16" ht="15.5">
      <c r="A173" s="85"/>
      <c r="B173" s="85" t="s">
        <v>176</v>
      </c>
      <c r="C173" s="116"/>
      <c r="D173" s="85"/>
      <c r="E173" s="85"/>
      <c r="F173" s="85"/>
      <c r="G173" s="86">
        <v>0</v>
      </c>
      <c r="H173" s="87">
        <v>0</v>
      </c>
      <c r="I173" s="86">
        <v>0</v>
      </c>
      <c r="J173" s="88">
        <v>0</v>
      </c>
      <c r="K173" s="89">
        <f t="shared" si="7"/>
        <v>0</v>
      </c>
      <c r="L173" s="308"/>
      <c r="M173" s="309"/>
      <c r="N173" s="737"/>
      <c r="O173" s="613"/>
      <c r="P173" s="619"/>
    </row>
    <row r="174" spans="1:16" ht="15.5">
      <c r="A174" s="85"/>
      <c r="B174" s="85" t="s">
        <v>177</v>
      </c>
      <c r="C174" s="116"/>
      <c r="D174" s="85"/>
      <c r="E174" s="85"/>
      <c r="F174" s="85"/>
      <c r="G174" s="86">
        <v>0</v>
      </c>
      <c r="H174" s="87">
        <v>0</v>
      </c>
      <c r="I174" s="86">
        <v>0</v>
      </c>
      <c r="J174" s="88">
        <v>0</v>
      </c>
      <c r="K174" s="89">
        <f t="shared" si="7"/>
        <v>0</v>
      </c>
      <c r="L174" s="308"/>
      <c r="M174" s="309"/>
      <c r="N174" s="737"/>
      <c r="O174" s="613"/>
      <c r="P174" s="619"/>
    </row>
    <row r="175" spans="1:16" ht="15.5">
      <c r="A175" s="85"/>
      <c r="B175" s="85" t="s">
        <v>209</v>
      </c>
      <c r="C175" s="116"/>
      <c r="D175" s="85"/>
      <c r="E175" s="85"/>
      <c r="F175" s="85"/>
      <c r="G175" s="86">
        <v>1</v>
      </c>
      <c r="H175" s="87">
        <v>1</v>
      </c>
      <c r="I175" s="86">
        <v>4</v>
      </c>
      <c r="J175" s="88">
        <v>2E-3</v>
      </c>
      <c r="K175" s="89">
        <f t="shared" si="7"/>
        <v>8.0000000000000002E-3</v>
      </c>
      <c r="L175" s="308"/>
      <c r="M175" s="309"/>
      <c r="N175" s="737"/>
      <c r="O175" s="613"/>
      <c r="P175" s="619"/>
    </row>
    <row r="176" spans="1:16" ht="15.5">
      <c r="A176" s="94"/>
      <c r="B176" s="94" t="s">
        <v>179</v>
      </c>
      <c r="C176" s="124"/>
      <c r="D176" s="94"/>
      <c r="E176" s="94"/>
      <c r="F176" s="94"/>
      <c r="G176" s="95">
        <v>1</v>
      </c>
      <c r="H176" s="96">
        <v>7</v>
      </c>
      <c r="I176" s="95">
        <v>4</v>
      </c>
      <c r="J176" s="125">
        <v>1.9499999999999999E-3</v>
      </c>
      <c r="K176" s="122">
        <f t="shared" si="7"/>
        <v>5.4600000000000003E-2</v>
      </c>
      <c r="L176" s="310"/>
      <c r="M176" s="311"/>
      <c r="N176" s="738"/>
      <c r="O176" s="614"/>
      <c r="P176" s="620"/>
    </row>
    <row r="177" spans="1:16" ht="62">
      <c r="A177" s="264"/>
      <c r="B177" s="264" t="s">
        <v>217</v>
      </c>
      <c r="C177" s="268">
        <v>7.0499999999999993E-2</v>
      </c>
      <c r="D177" s="259">
        <v>6.1699999999999998E-2</v>
      </c>
      <c r="E177" s="269">
        <v>7.0000000000000007E-2</v>
      </c>
      <c r="F177" s="259" t="s">
        <v>208</v>
      </c>
      <c r="G177" s="241">
        <v>1</v>
      </c>
      <c r="H177" s="242">
        <v>2</v>
      </c>
      <c r="I177" s="241">
        <v>5</v>
      </c>
      <c r="J177" s="243"/>
      <c r="K177" s="239">
        <f>+SUM(K178:K185)</f>
        <v>0.1116</v>
      </c>
      <c r="L177" s="307">
        <f>+SUM(L178:L185)</f>
        <v>0</v>
      </c>
      <c r="M177" s="307">
        <f>+K177-L177</f>
        <v>0.1116</v>
      </c>
      <c r="N177" s="736" t="s">
        <v>336</v>
      </c>
      <c r="O177" s="612" t="s">
        <v>362</v>
      </c>
      <c r="P177" s="618" t="s">
        <v>241</v>
      </c>
    </row>
    <row r="178" spans="1:16" ht="15.5">
      <c r="A178" s="102"/>
      <c r="B178" s="102" t="s">
        <v>172</v>
      </c>
      <c r="C178" s="116"/>
      <c r="D178" s="85"/>
      <c r="E178" s="85"/>
      <c r="F178" s="85"/>
      <c r="G178" s="86">
        <v>1</v>
      </c>
      <c r="H178" s="87">
        <v>1</v>
      </c>
      <c r="I178" s="86">
        <v>5</v>
      </c>
      <c r="J178" s="88">
        <v>3.0999999999999999E-3</v>
      </c>
      <c r="K178" s="89">
        <f>+J178*I178*H178</f>
        <v>1.55E-2</v>
      </c>
      <c r="L178" s="308"/>
      <c r="M178" s="309"/>
      <c r="N178" s="737"/>
      <c r="O178" s="613"/>
      <c r="P178" s="619"/>
    </row>
    <row r="179" spans="1:16" ht="15.5">
      <c r="A179" s="85"/>
      <c r="B179" s="85" t="s">
        <v>173</v>
      </c>
      <c r="C179" s="116"/>
      <c r="D179" s="85"/>
      <c r="E179" s="85"/>
      <c r="F179" s="85"/>
      <c r="G179" s="86">
        <v>1</v>
      </c>
      <c r="H179" s="87">
        <v>1</v>
      </c>
      <c r="I179" s="86">
        <v>5</v>
      </c>
      <c r="J179" s="88">
        <v>2.0999999999999999E-3</v>
      </c>
      <c r="K179" s="89">
        <f t="shared" ref="K179:K185" si="8">+J179*I179*H179*G179</f>
        <v>1.0500000000000001E-2</v>
      </c>
      <c r="L179" s="308"/>
      <c r="M179" s="309"/>
      <c r="N179" s="737"/>
      <c r="O179" s="613"/>
      <c r="P179" s="619"/>
    </row>
    <row r="180" spans="1:16" ht="15.5">
      <c r="A180" s="85"/>
      <c r="B180" s="85" t="s">
        <v>174</v>
      </c>
      <c r="C180" s="116"/>
      <c r="D180" s="85"/>
      <c r="E180" s="85"/>
      <c r="F180" s="85"/>
      <c r="G180" s="86">
        <v>1</v>
      </c>
      <c r="H180" s="87">
        <v>1</v>
      </c>
      <c r="I180" s="86">
        <v>4</v>
      </c>
      <c r="J180" s="88">
        <v>5.0000000000000001E-3</v>
      </c>
      <c r="K180" s="89">
        <f t="shared" si="8"/>
        <v>0.02</v>
      </c>
      <c r="L180" s="308"/>
      <c r="M180" s="309"/>
      <c r="N180" s="737"/>
      <c r="O180" s="613"/>
      <c r="P180" s="619"/>
    </row>
    <row r="181" spans="1:16" ht="15.5">
      <c r="A181" s="85"/>
      <c r="B181" s="85" t="s">
        <v>175</v>
      </c>
      <c r="C181" s="116"/>
      <c r="D181" s="85"/>
      <c r="E181" s="85"/>
      <c r="F181" s="85"/>
      <c r="G181" s="86">
        <v>1</v>
      </c>
      <c r="H181" s="87">
        <v>1</v>
      </c>
      <c r="I181" s="86">
        <v>4</v>
      </c>
      <c r="J181" s="88">
        <v>5.0000000000000001E-3</v>
      </c>
      <c r="K181" s="89">
        <f t="shared" si="8"/>
        <v>0.02</v>
      </c>
      <c r="L181" s="308"/>
      <c r="M181" s="309"/>
      <c r="N181" s="737"/>
      <c r="O181" s="613"/>
      <c r="P181" s="619"/>
    </row>
    <row r="182" spans="1:16" ht="15.5">
      <c r="A182" s="85"/>
      <c r="B182" s="85" t="s">
        <v>184</v>
      </c>
      <c r="C182" s="116"/>
      <c r="D182" s="85"/>
      <c r="E182" s="85"/>
      <c r="F182" s="85"/>
      <c r="G182" s="86">
        <v>1</v>
      </c>
      <c r="H182" s="87">
        <v>2</v>
      </c>
      <c r="I182" s="86">
        <v>1</v>
      </c>
      <c r="J182" s="88">
        <v>1.7500000000000002E-2</v>
      </c>
      <c r="K182" s="89">
        <f t="shared" si="8"/>
        <v>3.5000000000000003E-2</v>
      </c>
      <c r="L182" s="308"/>
      <c r="M182" s="309"/>
      <c r="N182" s="737"/>
      <c r="O182" s="613"/>
      <c r="P182" s="619"/>
    </row>
    <row r="183" spans="1:16" ht="15.5">
      <c r="A183" s="85"/>
      <c r="B183" s="85" t="s">
        <v>176</v>
      </c>
      <c r="C183" s="116"/>
      <c r="D183" s="85"/>
      <c r="E183" s="85"/>
      <c r="F183" s="85"/>
      <c r="G183" s="89">
        <v>0</v>
      </c>
      <c r="H183" s="89">
        <v>0</v>
      </c>
      <c r="I183" s="89">
        <v>0</v>
      </c>
      <c r="J183" s="89">
        <v>0</v>
      </c>
      <c r="K183" s="89">
        <f t="shared" si="8"/>
        <v>0</v>
      </c>
      <c r="L183" s="308"/>
      <c r="M183" s="309"/>
      <c r="N183" s="737"/>
      <c r="O183" s="613"/>
      <c r="P183" s="619"/>
    </row>
    <row r="184" spans="1:16" ht="15.5">
      <c r="A184" s="85"/>
      <c r="B184" s="85" t="s">
        <v>177</v>
      </c>
      <c r="C184" s="116"/>
      <c r="D184" s="85"/>
      <c r="E184" s="85"/>
      <c r="F184" s="85"/>
      <c r="G184" s="89">
        <v>0</v>
      </c>
      <c r="H184" s="89">
        <v>0</v>
      </c>
      <c r="I184" s="89">
        <v>0</v>
      </c>
      <c r="J184" s="89">
        <v>0</v>
      </c>
      <c r="K184" s="89">
        <f t="shared" si="8"/>
        <v>0</v>
      </c>
      <c r="L184" s="308"/>
      <c r="M184" s="309"/>
      <c r="N184" s="737"/>
      <c r="O184" s="613"/>
      <c r="P184" s="619"/>
    </row>
    <row r="185" spans="1:16" ht="15.5">
      <c r="A185" s="146"/>
      <c r="B185" s="146" t="s">
        <v>179</v>
      </c>
      <c r="C185" s="118"/>
      <c r="D185" s="104"/>
      <c r="E185" s="104"/>
      <c r="F185" s="104"/>
      <c r="G185" s="105">
        <v>1</v>
      </c>
      <c r="H185" s="106">
        <v>2</v>
      </c>
      <c r="I185" s="105">
        <v>5</v>
      </c>
      <c r="J185" s="144">
        <f>0.0053/5</f>
        <v>1.06E-3</v>
      </c>
      <c r="K185" s="145">
        <f t="shared" si="8"/>
        <v>1.06E-2</v>
      </c>
      <c r="L185" s="333"/>
      <c r="M185" s="334"/>
      <c r="N185" s="738"/>
      <c r="O185" s="614"/>
      <c r="P185" s="620"/>
    </row>
    <row r="186" spans="1:16" ht="108.5">
      <c r="A186" s="199"/>
      <c r="B186" s="199" t="s">
        <v>218</v>
      </c>
      <c r="C186" s="234">
        <v>0.1124</v>
      </c>
      <c r="D186" s="235">
        <v>7.3851E-2</v>
      </c>
      <c r="E186" s="245">
        <v>8.8999999999999996E-2</v>
      </c>
      <c r="F186" s="270" t="s">
        <v>301</v>
      </c>
      <c r="G186" s="241">
        <v>1</v>
      </c>
      <c r="H186" s="242">
        <v>3</v>
      </c>
      <c r="I186" s="241">
        <v>4</v>
      </c>
      <c r="J186" s="243"/>
      <c r="K186" s="239">
        <f>+SUM(K187:K194)</f>
        <v>0.12820000000000001</v>
      </c>
      <c r="L186" s="307">
        <f>+SUM(L187:L194)</f>
        <v>0</v>
      </c>
      <c r="M186" s="307">
        <f>+K186-L186</f>
        <v>0.12820000000000001</v>
      </c>
      <c r="N186" s="736" t="s">
        <v>336</v>
      </c>
      <c r="O186" s="612" t="s">
        <v>363</v>
      </c>
      <c r="P186" s="618" t="s">
        <v>216</v>
      </c>
    </row>
    <row r="187" spans="1:16" ht="15.5">
      <c r="A187" s="102"/>
      <c r="B187" s="102" t="s">
        <v>172</v>
      </c>
      <c r="C187" s="116"/>
      <c r="D187" s="85"/>
      <c r="E187" s="85"/>
      <c r="F187" s="85"/>
      <c r="G187" s="86">
        <v>1</v>
      </c>
      <c r="H187" s="87">
        <v>1</v>
      </c>
      <c r="I187" s="86">
        <v>4</v>
      </c>
      <c r="J187" s="88">
        <v>3.0999999999999999E-3</v>
      </c>
      <c r="K187" s="89">
        <f>+J187*I187*H187</f>
        <v>1.24E-2</v>
      </c>
      <c r="L187" s="308"/>
      <c r="M187" s="309"/>
      <c r="N187" s="737"/>
      <c r="O187" s="613"/>
      <c r="P187" s="619"/>
    </row>
    <row r="188" spans="1:16" ht="15.5">
      <c r="A188" s="85"/>
      <c r="B188" s="85" t="s">
        <v>173</v>
      </c>
      <c r="C188" s="116"/>
      <c r="D188" s="85"/>
      <c r="E188" s="85"/>
      <c r="F188" s="85"/>
      <c r="G188" s="86">
        <v>1</v>
      </c>
      <c r="H188" s="87">
        <v>2</v>
      </c>
      <c r="I188" s="86">
        <v>4</v>
      </c>
      <c r="J188" s="88">
        <v>2.0999999999999999E-3</v>
      </c>
      <c r="K188" s="89">
        <f t="shared" ref="K188:K194" si="9">+J188*I188*H188*G188</f>
        <v>1.6799999999999999E-2</v>
      </c>
      <c r="L188" s="308"/>
      <c r="M188" s="309"/>
      <c r="N188" s="737"/>
      <c r="O188" s="613"/>
      <c r="P188" s="619"/>
    </row>
    <row r="189" spans="1:16" ht="15.5">
      <c r="A189" s="85"/>
      <c r="B189" s="85" t="s">
        <v>174</v>
      </c>
      <c r="C189" s="116"/>
      <c r="D189" s="85"/>
      <c r="E189" s="85"/>
      <c r="F189" s="85"/>
      <c r="G189" s="86">
        <v>1</v>
      </c>
      <c r="H189" s="87">
        <v>1</v>
      </c>
      <c r="I189" s="86">
        <v>3</v>
      </c>
      <c r="J189" s="88">
        <v>5.0000000000000001E-3</v>
      </c>
      <c r="K189" s="89">
        <f t="shared" si="9"/>
        <v>1.4999999999999999E-2</v>
      </c>
      <c r="L189" s="308"/>
      <c r="M189" s="309"/>
      <c r="N189" s="737"/>
      <c r="O189" s="613"/>
      <c r="P189" s="619"/>
    </row>
    <row r="190" spans="1:16" ht="15.5">
      <c r="A190" s="85"/>
      <c r="B190" s="85" t="s">
        <v>175</v>
      </c>
      <c r="C190" s="116"/>
      <c r="D190" s="85"/>
      <c r="E190" s="85"/>
      <c r="F190" s="85"/>
      <c r="G190" s="129">
        <v>1</v>
      </c>
      <c r="H190" s="130">
        <v>2</v>
      </c>
      <c r="I190" s="129">
        <v>3</v>
      </c>
      <c r="J190" s="131">
        <v>5.0000000000000001E-3</v>
      </c>
      <c r="K190" s="132">
        <f t="shared" si="9"/>
        <v>0.03</v>
      </c>
      <c r="L190" s="324"/>
      <c r="M190" s="325"/>
      <c r="N190" s="737"/>
      <c r="O190" s="613"/>
      <c r="P190" s="619"/>
    </row>
    <row r="191" spans="1:16" ht="15.5">
      <c r="A191" s="85"/>
      <c r="B191" s="85" t="s">
        <v>184</v>
      </c>
      <c r="C191" s="116"/>
      <c r="D191" s="85"/>
      <c r="E191" s="85"/>
      <c r="F191" s="85"/>
      <c r="G191" s="86">
        <v>1</v>
      </c>
      <c r="H191" s="87">
        <v>3</v>
      </c>
      <c r="I191" s="86">
        <v>1</v>
      </c>
      <c r="J191" s="88">
        <v>1.4E-2</v>
      </c>
      <c r="K191" s="89">
        <f t="shared" si="9"/>
        <v>4.2000000000000003E-2</v>
      </c>
      <c r="L191" s="308"/>
      <c r="M191" s="309"/>
      <c r="N191" s="737"/>
      <c r="O191" s="613"/>
      <c r="P191" s="619"/>
    </row>
    <row r="192" spans="1:16" ht="15.5">
      <c r="A192" s="85"/>
      <c r="B192" s="85" t="s">
        <v>176</v>
      </c>
      <c r="C192" s="116"/>
      <c r="D192" s="85"/>
      <c r="E192" s="85"/>
      <c r="F192" s="85"/>
      <c r="G192" s="89">
        <v>0</v>
      </c>
      <c r="H192" s="89">
        <v>0</v>
      </c>
      <c r="I192" s="89">
        <v>0</v>
      </c>
      <c r="J192" s="88">
        <v>0</v>
      </c>
      <c r="K192" s="89">
        <f t="shared" si="9"/>
        <v>0</v>
      </c>
      <c r="L192" s="308"/>
      <c r="M192" s="309"/>
      <c r="N192" s="737"/>
      <c r="O192" s="613"/>
      <c r="P192" s="619"/>
    </row>
    <row r="193" spans="1:16" ht="15.5">
      <c r="A193" s="85"/>
      <c r="B193" s="85" t="s">
        <v>177</v>
      </c>
      <c r="C193" s="116"/>
      <c r="D193" s="85"/>
      <c r="E193" s="85"/>
      <c r="F193" s="85"/>
      <c r="G193" s="89">
        <v>0</v>
      </c>
      <c r="H193" s="89">
        <v>0</v>
      </c>
      <c r="I193" s="89">
        <v>0</v>
      </c>
      <c r="J193" s="88">
        <v>0</v>
      </c>
      <c r="K193" s="89">
        <f t="shared" si="9"/>
        <v>0</v>
      </c>
      <c r="L193" s="308"/>
      <c r="M193" s="309"/>
      <c r="N193" s="737"/>
      <c r="O193" s="613"/>
      <c r="P193" s="619"/>
    </row>
    <row r="194" spans="1:16" ht="15.5">
      <c r="A194" s="148"/>
      <c r="B194" s="148" t="s">
        <v>179</v>
      </c>
      <c r="C194" s="118"/>
      <c r="D194" s="104"/>
      <c r="E194" s="104"/>
      <c r="F194" s="104"/>
      <c r="G194" s="105">
        <v>1</v>
      </c>
      <c r="H194" s="106">
        <v>3</v>
      </c>
      <c r="I194" s="105">
        <v>4</v>
      </c>
      <c r="J194" s="144">
        <v>1E-3</v>
      </c>
      <c r="K194" s="145">
        <f t="shared" si="9"/>
        <v>1.2E-2</v>
      </c>
      <c r="L194" s="333"/>
      <c r="M194" s="334"/>
      <c r="N194" s="738"/>
      <c r="O194" s="614"/>
      <c r="P194" s="620"/>
    </row>
    <row r="195" spans="1:16" ht="77.5">
      <c r="A195" s="199"/>
      <c r="B195" s="199" t="s">
        <v>219</v>
      </c>
      <c r="C195" s="245">
        <v>0</v>
      </c>
      <c r="D195" s="245">
        <v>0</v>
      </c>
      <c r="E195" s="245">
        <v>0</v>
      </c>
      <c r="F195" s="245">
        <v>0</v>
      </c>
      <c r="G195" s="241">
        <v>3</v>
      </c>
      <c r="H195" s="242">
        <v>2</v>
      </c>
      <c r="I195" s="241">
        <v>3</v>
      </c>
      <c r="J195" s="243"/>
      <c r="K195" s="239">
        <f>+SUM(K196:K203)</f>
        <v>0.21479999999999999</v>
      </c>
      <c r="L195" s="307">
        <f>+SUM(L196:L203)</f>
        <v>0</v>
      </c>
      <c r="M195" s="307">
        <f>+K195-L195</f>
        <v>0.21479999999999999</v>
      </c>
      <c r="N195" s="736" t="s">
        <v>336</v>
      </c>
      <c r="O195" s="612" t="s">
        <v>364</v>
      </c>
      <c r="P195" s="618" t="s">
        <v>220</v>
      </c>
    </row>
    <row r="196" spans="1:16" ht="15.5">
      <c r="A196" s="102"/>
      <c r="B196" s="102" t="s">
        <v>172</v>
      </c>
      <c r="C196" s="116"/>
      <c r="D196" s="85"/>
      <c r="E196" s="85"/>
      <c r="F196" s="85"/>
      <c r="G196" s="149">
        <v>3</v>
      </c>
      <c r="H196" s="87">
        <v>1</v>
      </c>
      <c r="I196" s="86">
        <v>3</v>
      </c>
      <c r="J196" s="88">
        <v>3.0999999999999999E-3</v>
      </c>
      <c r="K196" s="89">
        <f t="shared" ref="K196:K202" si="10">+J196*I196*H196*G196</f>
        <v>2.7900000000000001E-2</v>
      </c>
      <c r="L196" s="308"/>
      <c r="M196" s="309"/>
      <c r="N196" s="737"/>
      <c r="O196" s="613"/>
      <c r="P196" s="619"/>
    </row>
    <row r="197" spans="1:16" ht="15.5">
      <c r="A197" s="85"/>
      <c r="B197" s="85" t="s">
        <v>173</v>
      </c>
      <c r="C197" s="116"/>
      <c r="D197" s="85"/>
      <c r="E197" s="85"/>
      <c r="F197" s="85"/>
      <c r="G197" s="149">
        <v>3</v>
      </c>
      <c r="H197" s="87">
        <v>1</v>
      </c>
      <c r="I197" s="86">
        <v>3</v>
      </c>
      <c r="J197" s="88">
        <v>2.0999999999999999E-3</v>
      </c>
      <c r="K197" s="89">
        <f t="shared" si="10"/>
        <v>1.89E-2</v>
      </c>
      <c r="L197" s="308"/>
      <c r="M197" s="309"/>
      <c r="N197" s="737"/>
      <c r="O197" s="613"/>
      <c r="P197" s="619"/>
    </row>
    <row r="198" spans="1:16" ht="15.5">
      <c r="A198" s="85"/>
      <c r="B198" s="85" t="s">
        <v>174</v>
      </c>
      <c r="C198" s="116"/>
      <c r="D198" s="85"/>
      <c r="E198" s="85"/>
      <c r="F198" s="85"/>
      <c r="G198" s="149">
        <v>3</v>
      </c>
      <c r="H198" s="87">
        <v>1</v>
      </c>
      <c r="I198" s="86">
        <v>2</v>
      </c>
      <c r="J198" s="88">
        <v>4.0000000000000001E-3</v>
      </c>
      <c r="K198" s="89">
        <f t="shared" si="10"/>
        <v>2.4E-2</v>
      </c>
      <c r="L198" s="308"/>
      <c r="M198" s="309"/>
      <c r="N198" s="737"/>
      <c r="O198" s="613"/>
      <c r="P198" s="619"/>
    </row>
    <row r="199" spans="1:16" ht="15.5">
      <c r="A199" s="85"/>
      <c r="B199" s="85" t="s">
        <v>175</v>
      </c>
      <c r="C199" s="116"/>
      <c r="D199" s="85"/>
      <c r="E199" s="85"/>
      <c r="F199" s="85"/>
      <c r="G199" s="149">
        <v>3</v>
      </c>
      <c r="H199" s="87">
        <v>1</v>
      </c>
      <c r="I199" s="86">
        <v>2</v>
      </c>
      <c r="J199" s="88">
        <v>4.0000000000000001E-3</v>
      </c>
      <c r="K199" s="89">
        <f t="shared" si="10"/>
        <v>2.4E-2</v>
      </c>
      <c r="L199" s="308"/>
      <c r="M199" s="309"/>
      <c r="N199" s="737"/>
      <c r="O199" s="613"/>
      <c r="P199" s="619"/>
    </row>
    <row r="200" spans="1:16" ht="15.5">
      <c r="A200" s="85"/>
      <c r="B200" s="85" t="s">
        <v>184</v>
      </c>
      <c r="C200" s="116"/>
      <c r="D200" s="85"/>
      <c r="E200" s="85"/>
      <c r="F200" s="85"/>
      <c r="G200" s="149">
        <v>3</v>
      </c>
      <c r="H200" s="87">
        <v>2</v>
      </c>
      <c r="I200" s="86">
        <v>1</v>
      </c>
      <c r="J200" s="88">
        <v>1.7000000000000001E-2</v>
      </c>
      <c r="K200" s="89">
        <f t="shared" si="10"/>
        <v>0.10199999999999999</v>
      </c>
      <c r="L200" s="308"/>
      <c r="M200" s="309"/>
      <c r="N200" s="737"/>
      <c r="O200" s="613"/>
      <c r="P200" s="619"/>
    </row>
    <row r="201" spans="1:16" ht="15.5">
      <c r="A201" s="85"/>
      <c r="B201" s="85" t="s">
        <v>176</v>
      </c>
      <c r="C201" s="116"/>
      <c r="D201" s="85"/>
      <c r="E201" s="85"/>
      <c r="F201" s="85"/>
      <c r="G201" s="149">
        <v>0</v>
      </c>
      <c r="H201" s="87">
        <v>0</v>
      </c>
      <c r="I201" s="86">
        <v>0</v>
      </c>
      <c r="J201" s="88">
        <v>0</v>
      </c>
      <c r="K201" s="89">
        <f t="shared" si="10"/>
        <v>0</v>
      </c>
      <c r="L201" s="308"/>
      <c r="M201" s="309"/>
      <c r="N201" s="737"/>
      <c r="O201" s="613"/>
      <c r="P201" s="619"/>
    </row>
    <row r="202" spans="1:16" ht="15.5">
      <c r="A202" s="85"/>
      <c r="B202" s="85" t="s">
        <v>177</v>
      </c>
      <c r="C202" s="116"/>
      <c r="D202" s="85"/>
      <c r="E202" s="85"/>
      <c r="F202" s="85"/>
      <c r="G202" s="149">
        <v>0</v>
      </c>
      <c r="H202" s="87">
        <v>0</v>
      </c>
      <c r="I202" s="86">
        <v>0</v>
      </c>
      <c r="J202" s="88">
        <v>0</v>
      </c>
      <c r="K202" s="89">
        <f t="shared" si="10"/>
        <v>0</v>
      </c>
      <c r="L202" s="308"/>
      <c r="M202" s="309"/>
      <c r="N202" s="737"/>
      <c r="O202" s="613"/>
      <c r="P202" s="619"/>
    </row>
    <row r="203" spans="1:16" ht="15.5">
      <c r="A203" s="148"/>
      <c r="B203" s="148" t="s">
        <v>179</v>
      </c>
      <c r="C203" s="118"/>
      <c r="D203" s="104"/>
      <c r="E203" s="104"/>
      <c r="F203" s="104"/>
      <c r="G203" s="150">
        <v>3</v>
      </c>
      <c r="H203" s="106">
        <v>2</v>
      </c>
      <c r="I203" s="105">
        <v>3</v>
      </c>
      <c r="J203" s="144">
        <v>1E-3</v>
      </c>
      <c r="K203" s="145">
        <f>+G203*H203*I203*J203</f>
        <v>1.7999999999999999E-2</v>
      </c>
      <c r="L203" s="333"/>
      <c r="M203" s="334"/>
      <c r="N203" s="738"/>
      <c r="O203" s="614"/>
      <c r="P203" s="620"/>
    </row>
    <row r="204" spans="1:16" ht="31">
      <c r="A204" s="257"/>
      <c r="B204" s="257" t="s">
        <v>221</v>
      </c>
      <c r="C204" s="252">
        <v>0.10979999999999999</v>
      </c>
      <c r="D204" s="252">
        <v>0.101449</v>
      </c>
      <c r="E204" s="251">
        <v>0</v>
      </c>
      <c r="F204" s="251">
        <v>0</v>
      </c>
      <c r="G204" s="260">
        <v>3</v>
      </c>
      <c r="H204" s="261">
        <v>1</v>
      </c>
      <c r="I204" s="260">
        <v>3</v>
      </c>
      <c r="J204" s="262"/>
      <c r="K204" s="271">
        <f>+SUM(K205:K213)</f>
        <v>0.11565</v>
      </c>
      <c r="L204" s="307">
        <f>+SUM(L205:L212)</f>
        <v>0</v>
      </c>
      <c r="M204" s="335">
        <f>+K204-L204</f>
        <v>0.11565</v>
      </c>
      <c r="N204" s="736" t="s">
        <v>341</v>
      </c>
      <c r="O204" s="612" t="s">
        <v>365</v>
      </c>
      <c r="P204" s="618" t="s">
        <v>222</v>
      </c>
    </row>
    <row r="205" spans="1:16" ht="15.5">
      <c r="A205" s="102"/>
      <c r="B205" s="102" t="s">
        <v>172</v>
      </c>
      <c r="C205" s="116"/>
      <c r="D205" s="85"/>
      <c r="E205" s="85"/>
      <c r="F205" s="85"/>
      <c r="G205" s="89">
        <v>0</v>
      </c>
      <c r="H205" s="89">
        <v>0</v>
      </c>
      <c r="I205" s="89">
        <v>0</v>
      </c>
      <c r="J205" s="88">
        <v>0</v>
      </c>
      <c r="K205" s="89">
        <f>+J205*I205*H205</f>
        <v>0</v>
      </c>
      <c r="L205" s="308"/>
      <c r="M205" s="309"/>
      <c r="N205" s="737"/>
      <c r="O205" s="613"/>
      <c r="P205" s="621"/>
    </row>
    <row r="206" spans="1:16" ht="15.5">
      <c r="A206" s="85"/>
      <c r="B206" s="85" t="s">
        <v>173</v>
      </c>
      <c r="C206" s="116"/>
      <c r="D206" s="85"/>
      <c r="E206" s="85"/>
      <c r="F206" s="85"/>
      <c r="G206" s="86">
        <v>3</v>
      </c>
      <c r="H206" s="86">
        <v>1</v>
      </c>
      <c r="I206" s="86">
        <v>3</v>
      </c>
      <c r="J206" s="88">
        <v>2.0999999999999999E-3</v>
      </c>
      <c r="K206" s="89">
        <f t="shared" ref="K206:K212" si="11">+J206*I206*H206*G206</f>
        <v>1.89E-2</v>
      </c>
      <c r="L206" s="308"/>
      <c r="M206" s="309"/>
      <c r="N206" s="737"/>
      <c r="O206" s="613"/>
      <c r="P206" s="621"/>
    </row>
    <row r="207" spans="1:16" ht="15.5">
      <c r="A207" s="85"/>
      <c r="B207" s="85" t="s">
        <v>174</v>
      </c>
      <c r="C207" s="116"/>
      <c r="D207" s="85"/>
      <c r="E207" s="85"/>
      <c r="F207" s="85"/>
      <c r="G207" s="89">
        <v>0</v>
      </c>
      <c r="H207" s="89">
        <v>0</v>
      </c>
      <c r="I207" s="89">
        <v>0</v>
      </c>
      <c r="J207" s="89">
        <v>0</v>
      </c>
      <c r="K207" s="89">
        <f t="shared" si="11"/>
        <v>0</v>
      </c>
      <c r="L207" s="308"/>
      <c r="M207" s="309"/>
      <c r="N207" s="737"/>
      <c r="O207" s="613"/>
      <c r="P207" s="621"/>
    </row>
    <row r="208" spans="1:16" ht="15.5">
      <c r="A208" s="85"/>
      <c r="B208" s="85" t="s">
        <v>175</v>
      </c>
      <c r="C208" s="116"/>
      <c r="D208" s="85"/>
      <c r="E208" s="85"/>
      <c r="F208" s="85"/>
      <c r="G208" s="86">
        <v>3</v>
      </c>
      <c r="H208" s="86">
        <v>1</v>
      </c>
      <c r="I208" s="86">
        <v>3</v>
      </c>
      <c r="J208" s="88">
        <v>4.0000000000000001E-3</v>
      </c>
      <c r="K208" s="89">
        <f t="shared" si="11"/>
        <v>3.5999999999999997E-2</v>
      </c>
      <c r="L208" s="308"/>
      <c r="M208" s="309"/>
      <c r="N208" s="737"/>
      <c r="O208" s="613"/>
      <c r="P208" s="621"/>
    </row>
    <row r="209" spans="1:16" ht="15.5">
      <c r="A209" s="85"/>
      <c r="B209" s="85" t="s">
        <v>184</v>
      </c>
      <c r="C209" s="116"/>
      <c r="D209" s="85"/>
      <c r="E209" s="85"/>
      <c r="F209" s="85"/>
      <c r="G209" s="86">
        <v>3</v>
      </c>
      <c r="H209" s="86">
        <v>1</v>
      </c>
      <c r="I209" s="86">
        <v>1</v>
      </c>
      <c r="J209" s="88">
        <v>1.7000000000000001E-2</v>
      </c>
      <c r="K209" s="89">
        <f t="shared" si="11"/>
        <v>5.0999999999999997E-2</v>
      </c>
      <c r="L209" s="308"/>
      <c r="M209" s="309"/>
      <c r="N209" s="737"/>
      <c r="O209" s="613"/>
      <c r="P209" s="621"/>
    </row>
    <row r="210" spans="1:16" ht="15.5">
      <c r="A210" s="85"/>
      <c r="B210" s="85" t="s">
        <v>176</v>
      </c>
      <c r="C210" s="116"/>
      <c r="D210" s="85"/>
      <c r="E210" s="85"/>
      <c r="F210" s="85"/>
      <c r="G210" s="89">
        <v>0</v>
      </c>
      <c r="H210" s="89">
        <v>0</v>
      </c>
      <c r="I210" s="89">
        <v>0</v>
      </c>
      <c r="J210" s="88">
        <v>0</v>
      </c>
      <c r="K210" s="89">
        <f t="shared" si="11"/>
        <v>0</v>
      </c>
      <c r="L210" s="308"/>
      <c r="M210" s="309"/>
      <c r="N210" s="737"/>
      <c r="O210" s="613"/>
      <c r="P210" s="621"/>
    </row>
    <row r="211" spans="1:16" ht="15.5">
      <c r="A211" s="85"/>
      <c r="B211" s="85" t="s">
        <v>177</v>
      </c>
      <c r="C211" s="116"/>
      <c r="D211" s="85"/>
      <c r="E211" s="85"/>
      <c r="F211" s="85"/>
      <c r="G211" s="89">
        <v>0</v>
      </c>
      <c r="H211" s="89">
        <v>0</v>
      </c>
      <c r="I211" s="89">
        <v>0</v>
      </c>
      <c r="J211" s="88">
        <v>0</v>
      </c>
      <c r="K211" s="89">
        <f t="shared" si="11"/>
        <v>0</v>
      </c>
      <c r="L211" s="308"/>
      <c r="M211" s="309"/>
      <c r="N211" s="737"/>
      <c r="O211" s="613"/>
      <c r="P211" s="621"/>
    </row>
    <row r="212" spans="1:16" ht="15.5">
      <c r="A212" s="90"/>
      <c r="B212" s="90" t="s">
        <v>179</v>
      </c>
      <c r="C212" s="116"/>
      <c r="D212" s="85"/>
      <c r="E212" s="85"/>
      <c r="F212" s="85"/>
      <c r="G212" s="91">
        <v>3</v>
      </c>
      <c r="H212" s="91">
        <v>1</v>
      </c>
      <c r="I212" s="91">
        <v>3</v>
      </c>
      <c r="J212" s="92">
        <f>0.00325/3</f>
        <v>1.08333333333333E-3</v>
      </c>
      <c r="K212" s="93">
        <f t="shared" si="11"/>
        <v>9.75E-3</v>
      </c>
      <c r="L212" s="336"/>
      <c r="M212" s="337"/>
      <c r="N212" s="737"/>
      <c r="O212" s="613"/>
      <c r="P212" s="621"/>
    </row>
    <row r="213" spans="1:16" ht="15.5">
      <c r="A213" s="94"/>
      <c r="B213" s="94"/>
      <c r="C213" s="124"/>
      <c r="D213" s="94"/>
      <c r="E213" s="94"/>
      <c r="F213" s="94"/>
      <c r="G213" s="95"/>
      <c r="H213" s="96"/>
      <c r="I213" s="95"/>
      <c r="J213" s="97"/>
      <c r="K213" s="98"/>
      <c r="L213" s="315"/>
      <c r="M213" s="316"/>
      <c r="N213" s="738"/>
      <c r="O213" s="614"/>
      <c r="P213" s="622"/>
    </row>
    <row r="214" spans="1:16" ht="64.5">
      <c r="A214" s="264"/>
      <c r="B214" s="264" t="s">
        <v>296</v>
      </c>
      <c r="C214" s="265">
        <v>8.0500000000000002E-2</v>
      </c>
      <c r="D214" s="265">
        <v>8.0500000000000002E-2</v>
      </c>
      <c r="E214" s="265">
        <v>0.50700000000000001</v>
      </c>
      <c r="F214" s="265">
        <v>0.50700000000000001</v>
      </c>
      <c r="G214" s="241">
        <v>1</v>
      </c>
      <c r="H214" s="242">
        <v>2</v>
      </c>
      <c r="I214" s="241">
        <v>4</v>
      </c>
      <c r="J214" s="243"/>
      <c r="K214" s="239">
        <f>+SUM(K215:K223)</f>
        <v>0.1028</v>
      </c>
      <c r="L214" s="307">
        <f>+SUM(L215:L222)</f>
        <v>0</v>
      </c>
      <c r="M214" s="307">
        <f>+K214-L214</f>
        <v>0.1028</v>
      </c>
      <c r="N214" s="736" t="s">
        <v>336</v>
      </c>
      <c r="O214" s="612" t="s">
        <v>366</v>
      </c>
      <c r="P214" s="618" t="s">
        <v>242</v>
      </c>
    </row>
    <row r="215" spans="1:16" ht="15.5">
      <c r="A215" s="102"/>
      <c r="B215" s="102" t="s">
        <v>172</v>
      </c>
      <c r="C215" s="116"/>
      <c r="D215" s="85"/>
      <c r="E215" s="85"/>
      <c r="F215" s="85"/>
      <c r="G215" s="86">
        <v>1</v>
      </c>
      <c r="H215" s="87">
        <v>2</v>
      </c>
      <c r="I215" s="86">
        <v>4</v>
      </c>
      <c r="J215" s="88">
        <v>3.0999999999999999E-3</v>
      </c>
      <c r="K215" s="89">
        <f>+J215*I215*H215</f>
        <v>2.4799999999999999E-2</v>
      </c>
      <c r="L215" s="308"/>
      <c r="M215" s="309"/>
      <c r="N215" s="737"/>
      <c r="O215" s="613"/>
      <c r="P215" s="619"/>
    </row>
    <row r="216" spans="1:16" ht="15.5">
      <c r="A216" s="85"/>
      <c r="B216" s="85" t="s">
        <v>173</v>
      </c>
      <c r="C216" s="116"/>
      <c r="D216" s="85"/>
      <c r="E216" s="85"/>
      <c r="F216" s="85"/>
      <c r="G216" s="86">
        <v>0</v>
      </c>
      <c r="H216" s="87">
        <v>0</v>
      </c>
      <c r="I216" s="86">
        <v>0</v>
      </c>
      <c r="J216" s="88">
        <v>0</v>
      </c>
      <c r="K216" s="89">
        <f t="shared" ref="K216:K223" si="12">+J216*I216*H216*G216</f>
        <v>0</v>
      </c>
      <c r="L216" s="308"/>
      <c r="M216" s="309"/>
      <c r="N216" s="737"/>
      <c r="O216" s="613"/>
      <c r="P216" s="619"/>
    </row>
    <row r="217" spans="1:16" ht="15.5">
      <c r="A217" s="85"/>
      <c r="B217" s="85" t="s">
        <v>174</v>
      </c>
      <c r="C217" s="116"/>
      <c r="D217" s="85"/>
      <c r="E217" s="85"/>
      <c r="F217" s="85"/>
      <c r="G217" s="86">
        <v>1</v>
      </c>
      <c r="H217" s="87">
        <v>2</v>
      </c>
      <c r="I217" s="86">
        <v>3</v>
      </c>
      <c r="J217" s="88">
        <v>5.0000000000000001E-3</v>
      </c>
      <c r="K217" s="89">
        <f t="shared" si="12"/>
        <v>0.03</v>
      </c>
      <c r="L217" s="308"/>
      <c r="M217" s="309"/>
      <c r="N217" s="737"/>
      <c r="O217" s="613"/>
      <c r="P217" s="619"/>
    </row>
    <row r="218" spans="1:16" ht="15.5">
      <c r="A218" s="85"/>
      <c r="B218" s="85" t="s">
        <v>175</v>
      </c>
      <c r="C218" s="116"/>
      <c r="D218" s="85"/>
      <c r="E218" s="85"/>
      <c r="F218" s="85"/>
      <c r="G218" s="86">
        <v>0</v>
      </c>
      <c r="H218" s="87">
        <v>0</v>
      </c>
      <c r="I218" s="86">
        <v>0</v>
      </c>
      <c r="J218" s="88">
        <v>0</v>
      </c>
      <c r="K218" s="89">
        <f t="shared" si="12"/>
        <v>0</v>
      </c>
      <c r="L218" s="308"/>
      <c r="M218" s="309"/>
      <c r="N218" s="737"/>
      <c r="O218" s="613"/>
      <c r="P218" s="619"/>
    </row>
    <row r="219" spans="1:16" ht="15.5">
      <c r="A219" s="85"/>
      <c r="B219" s="85" t="s">
        <v>184</v>
      </c>
      <c r="C219" s="116"/>
      <c r="D219" s="85"/>
      <c r="E219" s="85"/>
      <c r="F219" s="85"/>
      <c r="G219" s="86">
        <v>1</v>
      </c>
      <c r="H219" s="87">
        <v>1</v>
      </c>
      <c r="I219" s="86">
        <v>1</v>
      </c>
      <c r="J219" s="88">
        <v>2.5000000000000001E-2</v>
      </c>
      <c r="K219" s="89">
        <f t="shared" si="12"/>
        <v>2.5000000000000001E-2</v>
      </c>
      <c r="L219" s="308"/>
      <c r="M219" s="309"/>
      <c r="N219" s="737"/>
      <c r="O219" s="613"/>
      <c r="P219" s="619"/>
    </row>
    <row r="220" spans="1:16" ht="15.5">
      <c r="A220" s="85"/>
      <c r="B220" s="85"/>
      <c r="C220" s="116"/>
      <c r="D220" s="85"/>
      <c r="E220" s="85"/>
      <c r="F220" s="85"/>
      <c r="G220" s="86">
        <v>1</v>
      </c>
      <c r="H220" s="87">
        <v>1</v>
      </c>
      <c r="I220" s="86">
        <v>1</v>
      </c>
      <c r="J220" s="88">
        <v>1.7000000000000001E-2</v>
      </c>
      <c r="K220" s="89">
        <f t="shared" si="12"/>
        <v>1.7000000000000001E-2</v>
      </c>
      <c r="L220" s="308"/>
      <c r="M220" s="309"/>
      <c r="N220" s="737"/>
      <c r="O220" s="613"/>
      <c r="P220" s="619"/>
    </row>
    <row r="221" spans="1:16" ht="15.5">
      <c r="A221" s="85"/>
      <c r="B221" s="85" t="s">
        <v>176</v>
      </c>
      <c r="C221" s="116"/>
      <c r="D221" s="85"/>
      <c r="E221" s="85"/>
      <c r="F221" s="85"/>
      <c r="G221" s="86">
        <v>0</v>
      </c>
      <c r="H221" s="87">
        <v>0</v>
      </c>
      <c r="I221" s="86">
        <v>0</v>
      </c>
      <c r="J221" s="88">
        <v>0</v>
      </c>
      <c r="K221" s="89">
        <f t="shared" si="12"/>
        <v>0</v>
      </c>
      <c r="L221" s="308"/>
      <c r="M221" s="309"/>
      <c r="N221" s="737"/>
      <c r="O221" s="613"/>
      <c r="P221" s="619"/>
    </row>
    <row r="222" spans="1:16" ht="15.5">
      <c r="A222" s="85"/>
      <c r="B222" s="85" t="s">
        <v>177</v>
      </c>
      <c r="C222" s="116"/>
      <c r="D222" s="85"/>
      <c r="E222" s="85"/>
      <c r="F222" s="85"/>
      <c r="G222" s="86">
        <v>0</v>
      </c>
      <c r="H222" s="87">
        <v>0</v>
      </c>
      <c r="I222" s="86">
        <v>0</v>
      </c>
      <c r="J222" s="88">
        <v>0</v>
      </c>
      <c r="K222" s="89">
        <f t="shared" si="12"/>
        <v>0</v>
      </c>
      <c r="L222" s="308"/>
      <c r="M222" s="309"/>
      <c r="N222" s="737"/>
      <c r="O222" s="613"/>
      <c r="P222" s="619"/>
    </row>
    <row r="223" spans="1:16" ht="15.5">
      <c r="A223" s="146"/>
      <c r="B223" s="146" t="s">
        <v>179</v>
      </c>
      <c r="C223" s="118"/>
      <c r="D223" s="104"/>
      <c r="E223" s="104"/>
      <c r="F223" s="104"/>
      <c r="G223" s="105">
        <v>1</v>
      </c>
      <c r="H223" s="106">
        <v>2</v>
      </c>
      <c r="I223" s="105">
        <v>4</v>
      </c>
      <c r="J223" s="144">
        <v>7.5000000000000002E-4</v>
      </c>
      <c r="K223" s="145">
        <f t="shared" si="12"/>
        <v>6.0000000000000001E-3</v>
      </c>
      <c r="L223" s="333"/>
      <c r="M223" s="334"/>
      <c r="N223" s="738"/>
      <c r="O223" s="614"/>
      <c r="P223" s="620"/>
    </row>
    <row r="224" spans="1:16" ht="46.5">
      <c r="A224" s="264"/>
      <c r="B224" s="264" t="s">
        <v>223</v>
      </c>
      <c r="C224" s="265">
        <v>0.12559999999999999</v>
      </c>
      <c r="D224" s="272">
        <v>3.9899999999999998E-2</v>
      </c>
      <c r="E224" s="235">
        <v>0</v>
      </c>
      <c r="F224" s="235">
        <v>0</v>
      </c>
      <c r="G224" s="241">
        <v>1</v>
      </c>
      <c r="H224" s="242">
        <v>2</v>
      </c>
      <c r="I224" s="241">
        <v>5</v>
      </c>
      <c r="J224" s="243"/>
      <c r="K224" s="239">
        <f>+SUM(K225:K234)</f>
        <v>0.22600000000000001</v>
      </c>
      <c r="L224" s="307">
        <f>+SUM(L225:L232)</f>
        <v>0</v>
      </c>
      <c r="M224" s="307">
        <f>+K224-L224</f>
        <v>0.22600000000000001</v>
      </c>
      <c r="N224" s="736" t="s">
        <v>339</v>
      </c>
      <c r="O224" s="612" t="s">
        <v>367</v>
      </c>
      <c r="P224" s="618" t="s">
        <v>297</v>
      </c>
    </row>
    <row r="225" spans="1:16" ht="15.5">
      <c r="A225" s="102"/>
      <c r="B225" s="102" t="s">
        <v>172</v>
      </c>
      <c r="C225" s="116"/>
      <c r="D225" s="739" t="s">
        <v>330</v>
      </c>
      <c r="E225" s="85"/>
      <c r="F225" s="85"/>
      <c r="G225" s="86">
        <v>1</v>
      </c>
      <c r="H225" s="87">
        <v>2</v>
      </c>
      <c r="I225" s="86">
        <v>5</v>
      </c>
      <c r="J225" s="88">
        <v>3.0999999999999999E-3</v>
      </c>
      <c r="K225" s="89">
        <f>+J225*I225*H225</f>
        <v>3.1E-2</v>
      </c>
      <c r="L225" s="308"/>
      <c r="M225" s="309"/>
      <c r="N225" s="737"/>
      <c r="O225" s="613"/>
      <c r="P225" s="619"/>
    </row>
    <row r="226" spans="1:16" ht="15.5">
      <c r="A226" s="85"/>
      <c r="B226" s="85" t="s">
        <v>173</v>
      </c>
      <c r="C226" s="116"/>
      <c r="D226" s="740"/>
      <c r="E226" s="85"/>
      <c r="F226" s="85"/>
      <c r="G226" s="86">
        <v>0</v>
      </c>
      <c r="H226" s="87">
        <v>0</v>
      </c>
      <c r="I226" s="86">
        <v>0</v>
      </c>
      <c r="J226" s="88">
        <v>0</v>
      </c>
      <c r="K226" s="89">
        <f t="shared" ref="K226:K234" si="13">+J226*I226*H226*G226</f>
        <v>0</v>
      </c>
      <c r="L226" s="308"/>
      <c r="M226" s="309"/>
      <c r="N226" s="737"/>
      <c r="O226" s="613"/>
      <c r="P226" s="619"/>
    </row>
    <row r="227" spans="1:16" ht="15.5">
      <c r="A227" s="85"/>
      <c r="B227" s="85" t="s">
        <v>174</v>
      </c>
      <c r="C227" s="116"/>
      <c r="D227" s="740"/>
      <c r="E227" s="85"/>
      <c r="F227" s="85"/>
      <c r="G227" s="86">
        <v>1</v>
      </c>
      <c r="H227" s="87">
        <v>1</v>
      </c>
      <c r="I227" s="86">
        <v>4</v>
      </c>
      <c r="J227" s="88">
        <v>8.0000000000000002E-3</v>
      </c>
      <c r="K227" s="89">
        <f t="shared" si="13"/>
        <v>3.2000000000000001E-2</v>
      </c>
      <c r="L227" s="308"/>
      <c r="M227" s="309"/>
      <c r="N227" s="737"/>
      <c r="O227" s="613"/>
      <c r="P227" s="619"/>
    </row>
    <row r="228" spans="1:16" ht="15.5">
      <c r="A228" s="85"/>
      <c r="B228" s="85" t="s">
        <v>174</v>
      </c>
      <c r="C228" s="116"/>
      <c r="D228" s="740"/>
      <c r="E228" s="85"/>
      <c r="F228" s="85"/>
      <c r="G228" s="86">
        <v>1</v>
      </c>
      <c r="H228" s="87">
        <v>1</v>
      </c>
      <c r="I228" s="86">
        <v>4</v>
      </c>
      <c r="J228" s="88">
        <v>7.4999999999999997E-3</v>
      </c>
      <c r="K228" s="89">
        <f t="shared" si="13"/>
        <v>0.03</v>
      </c>
      <c r="L228" s="308"/>
      <c r="M228" s="309"/>
      <c r="N228" s="737"/>
      <c r="O228" s="613"/>
      <c r="P228" s="619"/>
    </row>
    <row r="229" spans="1:16" ht="15.5">
      <c r="A229" s="85"/>
      <c r="B229" s="85" t="s">
        <v>175</v>
      </c>
      <c r="C229" s="116"/>
      <c r="D229" s="141"/>
      <c r="E229" s="85"/>
      <c r="F229" s="85"/>
      <c r="G229" s="86">
        <v>0</v>
      </c>
      <c r="H229" s="87">
        <v>0</v>
      </c>
      <c r="I229" s="86">
        <v>0</v>
      </c>
      <c r="J229" s="88">
        <v>0</v>
      </c>
      <c r="K229" s="89">
        <f t="shared" si="13"/>
        <v>0</v>
      </c>
      <c r="L229" s="308"/>
      <c r="M229" s="309"/>
      <c r="N229" s="737"/>
      <c r="O229" s="613"/>
      <c r="P229" s="619"/>
    </row>
    <row r="230" spans="1:16" ht="15.5">
      <c r="A230" s="85"/>
      <c r="B230" s="85" t="s">
        <v>184</v>
      </c>
      <c r="C230" s="116"/>
      <c r="D230" s="85"/>
      <c r="E230" s="85"/>
      <c r="F230" s="85"/>
      <c r="G230" s="86">
        <v>1</v>
      </c>
      <c r="H230" s="87">
        <v>1</v>
      </c>
      <c r="I230" s="86">
        <v>1</v>
      </c>
      <c r="J230" s="88">
        <v>0.08</v>
      </c>
      <c r="K230" s="89">
        <f t="shared" si="13"/>
        <v>0.08</v>
      </c>
      <c r="L230" s="308"/>
      <c r="M230" s="309"/>
      <c r="N230" s="737"/>
      <c r="O230" s="613"/>
      <c r="P230" s="619"/>
    </row>
    <row r="231" spans="1:16" ht="15.5">
      <c r="A231" s="85"/>
      <c r="B231" s="85"/>
      <c r="C231" s="116"/>
      <c r="D231" s="85"/>
      <c r="E231" s="85"/>
      <c r="F231" s="85"/>
      <c r="G231" s="86">
        <v>1</v>
      </c>
      <c r="H231" s="87">
        <v>1</v>
      </c>
      <c r="I231" s="86">
        <v>1</v>
      </c>
      <c r="J231" s="88">
        <v>4.4999999999999998E-2</v>
      </c>
      <c r="K231" s="89">
        <f t="shared" si="13"/>
        <v>4.4999999999999998E-2</v>
      </c>
      <c r="L231" s="308"/>
      <c r="M231" s="309"/>
      <c r="N231" s="737"/>
      <c r="O231" s="613"/>
      <c r="P231" s="619"/>
    </row>
    <row r="232" spans="1:16" ht="15.5">
      <c r="A232" s="85"/>
      <c r="B232" s="85" t="s">
        <v>176</v>
      </c>
      <c r="C232" s="116"/>
      <c r="D232" s="85"/>
      <c r="E232" s="85"/>
      <c r="F232" s="85"/>
      <c r="G232" s="86">
        <v>0</v>
      </c>
      <c r="H232" s="87">
        <v>0</v>
      </c>
      <c r="I232" s="86">
        <v>0</v>
      </c>
      <c r="J232" s="88">
        <v>0</v>
      </c>
      <c r="K232" s="89">
        <f t="shared" si="13"/>
        <v>0</v>
      </c>
      <c r="L232" s="308"/>
      <c r="M232" s="309"/>
      <c r="N232" s="737"/>
      <c r="O232" s="613"/>
      <c r="P232" s="619"/>
    </row>
    <row r="233" spans="1:16" ht="15.5">
      <c r="A233" s="85"/>
      <c r="B233" s="85" t="s">
        <v>177</v>
      </c>
      <c r="C233" s="116"/>
      <c r="D233" s="85"/>
      <c r="E233" s="85"/>
      <c r="F233" s="85"/>
      <c r="G233" s="86">
        <v>0</v>
      </c>
      <c r="H233" s="87">
        <v>0</v>
      </c>
      <c r="I233" s="86">
        <v>0</v>
      </c>
      <c r="J233" s="88">
        <v>0</v>
      </c>
      <c r="K233" s="89">
        <f t="shared" si="13"/>
        <v>0</v>
      </c>
      <c r="L233" s="308"/>
      <c r="M233" s="309"/>
      <c r="N233" s="737"/>
      <c r="O233" s="613"/>
      <c r="P233" s="619"/>
    </row>
    <row r="234" spans="1:16" ht="15.5">
      <c r="A234" s="146"/>
      <c r="B234" s="146" t="s">
        <v>179</v>
      </c>
      <c r="C234" s="124"/>
      <c r="D234" s="94"/>
      <c r="E234" s="94"/>
      <c r="F234" s="104"/>
      <c r="G234" s="105">
        <v>1</v>
      </c>
      <c r="H234" s="106">
        <v>2</v>
      </c>
      <c r="I234" s="105">
        <v>5</v>
      </c>
      <c r="J234" s="144">
        <f>0.004/5</f>
        <v>8.0000000000000004E-4</v>
      </c>
      <c r="K234" s="145">
        <f t="shared" si="13"/>
        <v>8.0000000000000002E-3</v>
      </c>
      <c r="L234" s="333"/>
      <c r="M234" s="334"/>
      <c r="N234" s="738"/>
      <c r="O234" s="614"/>
      <c r="P234" s="620"/>
    </row>
    <row r="235" spans="1:16" ht="46.5">
      <c r="A235" s="264"/>
      <c r="B235" s="264" t="s">
        <v>224</v>
      </c>
      <c r="C235" s="265">
        <v>0.1285</v>
      </c>
      <c r="D235" s="265">
        <v>0</v>
      </c>
      <c r="E235" s="235">
        <v>0</v>
      </c>
      <c r="F235" s="235">
        <v>0</v>
      </c>
      <c r="G235" s="241">
        <v>1</v>
      </c>
      <c r="H235" s="242">
        <v>2</v>
      </c>
      <c r="I235" s="241">
        <v>5</v>
      </c>
      <c r="J235" s="243"/>
      <c r="K235" s="239">
        <f>+SUM(K236:K245)</f>
        <v>0.22600000000000001</v>
      </c>
      <c r="L235" s="307">
        <f>+SUM(L236:L243)</f>
        <v>0</v>
      </c>
      <c r="M235" s="307">
        <f>+K235-L235</f>
        <v>0.22600000000000001</v>
      </c>
      <c r="N235" s="736" t="s">
        <v>339</v>
      </c>
      <c r="O235" s="612" t="s">
        <v>367</v>
      </c>
      <c r="P235" s="618" t="s">
        <v>243</v>
      </c>
    </row>
    <row r="236" spans="1:16" ht="15.5">
      <c r="A236" s="102"/>
      <c r="B236" s="102" t="s">
        <v>172</v>
      </c>
      <c r="C236" s="116"/>
      <c r="D236" s="85"/>
      <c r="E236" s="85"/>
      <c r="F236" s="85"/>
      <c r="G236" s="86">
        <v>1</v>
      </c>
      <c r="H236" s="87">
        <v>2</v>
      </c>
      <c r="I236" s="86">
        <v>5</v>
      </c>
      <c r="J236" s="88">
        <v>3.0999999999999999E-3</v>
      </c>
      <c r="K236" s="89">
        <f>+J236*I236*H236</f>
        <v>3.1E-2</v>
      </c>
      <c r="L236" s="308"/>
      <c r="M236" s="309"/>
      <c r="N236" s="737"/>
      <c r="O236" s="613"/>
      <c r="P236" s="619"/>
    </row>
    <row r="237" spans="1:16" ht="15.5">
      <c r="A237" s="85"/>
      <c r="B237" s="85" t="s">
        <v>173</v>
      </c>
      <c r="C237" s="116"/>
      <c r="D237" s="85"/>
      <c r="E237" s="85"/>
      <c r="F237" s="85"/>
      <c r="G237" s="86">
        <v>0</v>
      </c>
      <c r="H237" s="87">
        <v>0</v>
      </c>
      <c r="I237" s="86">
        <v>0</v>
      </c>
      <c r="J237" s="88">
        <v>0</v>
      </c>
      <c r="K237" s="89">
        <f t="shared" ref="K237:K245" si="14">+J237*I237*H237*G237</f>
        <v>0</v>
      </c>
      <c r="L237" s="308"/>
      <c r="M237" s="309"/>
      <c r="N237" s="737"/>
      <c r="O237" s="613"/>
      <c r="P237" s="619"/>
    </row>
    <row r="238" spans="1:16" ht="15.5">
      <c r="A238" s="85"/>
      <c r="B238" s="85" t="s">
        <v>174</v>
      </c>
      <c r="C238" s="116"/>
      <c r="D238" s="85"/>
      <c r="E238" s="85"/>
      <c r="F238" s="85"/>
      <c r="G238" s="86">
        <v>1</v>
      </c>
      <c r="H238" s="87">
        <v>1</v>
      </c>
      <c r="I238" s="86">
        <v>4</v>
      </c>
      <c r="J238" s="88">
        <v>8.0000000000000002E-3</v>
      </c>
      <c r="K238" s="89">
        <f t="shared" si="14"/>
        <v>3.2000000000000001E-2</v>
      </c>
      <c r="L238" s="308"/>
      <c r="M238" s="309"/>
      <c r="N238" s="737"/>
      <c r="O238" s="613"/>
      <c r="P238" s="619"/>
    </row>
    <row r="239" spans="1:16" ht="15.5">
      <c r="A239" s="85"/>
      <c r="B239" s="85"/>
      <c r="C239" s="116"/>
      <c r="D239" s="85"/>
      <c r="E239" s="85"/>
      <c r="F239" s="85"/>
      <c r="G239" s="86">
        <v>1</v>
      </c>
      <c r="H239" s="87">
        <v>1</v>
      </c>
      <c r="I239" s="86">
        <v>4</v>
      </c>
      <c r="J239" s="88">
        <v>7.4999999999999997E-3</v>
      </c>
      <c r="K239" s="89">
        <f t="shared" si="14"/>
        <v>0.03</v>
      </c>
      <c r="L239" s="308"/>
      <c r="M239" s="309"/>
      <c r="N239" s="737"/>
      <c r="O239" s="613"/>
      <c r="P239" s="619"/>
    </row>
    <row r="240" spans="1:16" ht="15.5">
      <c r="A240" s="85"/>
      <c r="B240" s="85" t="s">
        <v>175</v>
      </c>
      <c r="C240" s="116"/>
      <c r="D240" s="85"/>
      <c r="E240" s="85"/>
      <c r="F240" s="85"/>
      <c r="G240" s="86">
        <v>0</v>
      </c>
      <c r="H240" s="87">
        <v>0</v>
      </c>
      <c r="I240" s="86">
        <v>0</v>
      </c>
      <c r="J240" s="88">
        <v>0</v>
      </c>
      <c r="K240" s="89">
        <f t="shared" si="14"/>
        <v>0</v>
      </c>
      <c r="L240" s="308"/>
      <c r="M240" s="309"/>
      <c r="N240" s="737"/>
      <c r="O240" s="613"/>
      <c r="P240" s="619"/>
    </row>
    <row r="241" spans="1:16" ht="15.5">
      <c r="A241" s="85"/>
      <c r="B241" s="85" t="s">
        <v>184</v>
      </c>
      <c r="C241" s="116"/>
      <c r="D241" s="85"/>
      <c r="E241" s="85"/>
      <c r="F241" s="85"/>
      <c r="G241" s="86">
        <v>1</v>
      </c>
      <c r="H241" s="87">
        <v>1</v>
      </c>
      <c r="I241" s="86">
        <v>1</v>
      </c>
      <c r="J241" s="88">
        <v>0.08</v>
      </c>
      <c r="K241" s="89">
        <f t="shared" si="14"/>
        <v>0.08</v>
      </c>
      <c r="L241" s="308"/>
      <c r="M241" s="309"/>
      <c r="N241" s="737"/>
      <c r="O241" s="613"/>
      <c r="P241" s="619"/>
    </row>
    <row r="242" spans="1:16" ht="15.5">
      <c r="A242" s="85"/>
      <c r="B242" s="85"/>
      <c r="C242" s="116"/>
      <c r="D242" s="85"/>
      <c r="E242" s="85"/>
      <c r="F242" s="85"/>
      <c r="G242" s="86">
        <v>1</v>
      </c>
      <c r="H242" s="87">
        <v>1</v>
      </c>
      <c r="I242" s="86">
        <v>1</v>
      </c>
      <c r="J242" s="88">
        <v>4.4999999999999998E-2</v>
      </c>
      <c r="K242" s="89">
        <f t="shared" si="14"/>
        <v>4.4999999999999998E-2</v>
      </c>
      <c r="L242" s="308"/>
      <c r="M242" s="309"/>
      <c r="N242" s="737"/>
      <c r="O242" s="613"/>
      <c r="P242" s="619"/>
    </row>
    <row r="243" spans="1:16" ht="15.5">
      <c r="A243" s="85"/>
      <c r="B243" s="85" t="s">
        <v>176</v>
      </c>
      <c r="C243" s="116"/>
      <c r="D243" s="85"/>
      <c r="E243" s="85"/>
      <c r="F243" s="85"/>
      <c r="G243" s="89">
        <v>0</v>
      </c>
      <c r="H243" s="89">
        <v>0</v>
      </c>
      <c r="I243" s="89">
        <v>0</v>
      </c>
      <c r="J243" s="89">
        <v>0</v>
      </c>
      <c r="K243" s="89">
        <f t="shared" si="14"/>
        <v>0</v>
      </c>
      <c r="L243" s="308"/>
      <c r="M243" s="309"/>
      <c r="N243" s="737"/>
      <c r="O243" s="613"/>
      <c r="P243" s="619"/>
    </row>
    <row r="244" spans="1:16" ht="15.5">
      <c r="A244" s="85"/>
      <c r="B244" s="85" t="s">
        <v>177</v>
      </c>
      <c r="C244" s="116"/>
      <c r="D244" s="85"/>
      <c r="E244" s="85"/>
      <c r="F244" s="85"/>
      <c r="G244" s="89">
        <v>0</v>
      </c>
      <c r="H244" s="89">
        <v>0</v>
      </c>
      <c r="I244" s="89">
        <v>0</v>
      </c>
      <c r="J244" s="89">
        <v>0</v>
      </c>
      <c r="K244" s="89">
        <f t="shared" si="14"/>
        <v>0</v>
      </c>
      <c r="L244" s="308"/>
      <c r="M244" s="309"/>
      <c r="N244" s="737"/>
      <c r="O244" s="613"/>
      <c r="P244" s="619"/>
    </row>
    <row r="245" spans="1:16" ht="15.5">
      <c r="A245" s="146"/>
      <c r="B245" s="146" t="s">
        <v>179</v>
      </c>
      <c r="C245" s="118"/>
      <c r="D245" s="104"/>
      <c r="E245" s="104"/>
      <c r="F245" s="104"/>
      <c r="G245" s="105">
        <v>1</v>
      </c>
      <c r="H245" s="106">
        <v>2</v>
      </c>
      <c r="I245" s="105">
        <v>5</v>
      </c>
      <c r="J245" s="144">
        <f>0.004/5</f>
        <v>8.0000000000000004E-4</v>
      </c>
      <c r="K245" s="145">
        <f t="shared" si="14"/>
        <v>8.0000000000000002E-3</v>
      </c>
      <c r="L245" s="333"/>
      <c r="M245" s="334"/>
      <c r="N245" s="738"/>
      <c r="O245" s="614"/>
      <c r="P245" s="620"/>
    </row>
    <row r="246" spans="1:16" ht="46.5">
      <c r="A246" s="264"/>
      <c r="B246" s="264" t="s">
        <v>225</v>
      </c>
      <c r="C246" s="245">
        <v>0</v>
      </c>
      <c r="D246" s="245">
        <v>0</v>
      </c>
      <c r="E246" s="235">
        <v>0</v>
      </c>
      <c r="F246" s="235">
        <v>0</v>
      </c>
      <c r="G246" s="260">
        <v>1</v>
      </c>
      <c r="H246" s="260">
        <v>2</v>
      </c>
      <c r="I246" s="260">
        <v>5</v>
      </c>
      <c r="J246" s="273"/>
      <c r="K246" s="239">
        <f>+SUM(K247:K256)</f>
        <v>0.22600000000000001</v>
      </c>
      <c r="L246" s="307">
        <f>+SUM(L247:L254)</f>
        <v>0</v>
      </c>
      <c r="M246" s="307">
        <f>+K246-L246</f>
        <v>0.22600000000000001</v>
      </c>
      <c r="N246" s="736" t="s">
        <v>339</v>
      </c>
      <c r="O246" s="612" t="s">
        <v>367</v>
      </c>
      <c r="P246" s="618" t="s">
        <v>244</v>
      </c>
    </row>
    <row r="247" spans="1:16" ht="15.5">
      <c r="A247" s="102"/>
      <c r="B247" s="102" t="s">
        <v>172</v>
      </c>
      <c r="C247" s="116"/>
      <c r="D247" s="85"/>
      <c r="E247" s="85"/>
      <c r="F247" s="85"/>
      <c r="G247" s="86">
        <v>1</v>
      </c>
      <c r="H247" s="86">
        <v>2</v>
      </c>
      <c r="I247" s="86">
        <v>5</v>
      </c>
      <c r="J247" s="89">
        <v>3.0999999999999999E-3</v>
      </c>
      <c r="K247" s="89">
        <f t="shared" ref="K247:K253" si="15">+J247*I247*H247*G247</f>
        <v>3.1E-2</v>
      </c>
      <c r="L247" s="308"/>
      <c r="M247" s="309"/>
      <c r="N247" s="737"/>
      <c r="O247" s="613"/>
      <c r="P247" s="619"/>
    </row>
    <row r="248" spans="1:16" ht="15.5">
      <c r="A248" s="85"/>
      <c r="B248" s="85" t="s">
        <v>173</v>
      </c>
      <c r="C248" s="116"/>
      <c r="D248" s="85"/>
      <c r="E248" s="85"/>
      <c r="F248" s="85"/>
      <c r="G248" s="89">
        <v>0</v>
      </c>
      <c r="H248" s="89">
        <v>0</v>
      </c>
      <c r="I248" s="89">
        <v>0</v>
      </c>
      <c r="J248" s="89">
        <v>0</v>
      </c>
      <c r="K248" s="89">
        <f t="shared" si="15"/>
        <v>0</v>
      </c>
      <c r="L248" s="308"/>
      <c r="M248" s="309"/>
      <c r="N248" s="737"/>
      <c r="O248" s="613"/>
      <c r="P248" s="619"/>
    </row>
    <row r="249" spans="1:16" ht="15.5">
      <c r="A249" s="85"/>
      <c r="B249" s="85" t="s">
        <v>174</v>
      </c>
      <c r="C249" s="116"/>
      <c r="D249" s="85"/>
      <c r="E249" s="85"/>
      <c r="F249" s="85"/>
      <c r="G249" s="86">
        <v>1</v>
      </c>
      <c r="H249" s="86">
        <v>1</v>
      </c>
      <c r="I249" s="86">
        <v>4</v>
      </c>
      <c r="J249" s="89">
        <v>8.0000000000000002E-3</v>
      </c>
      <c r="K249" s="89">
        <f t="shared" si="15"/>
        <v>3.2000000000000001E-2</v>
      </c>
      <c r="L249" s="308"/>
      <c r="M249" s="309"/>
      <c r="N249" s="737"/>
      <c r="O249" s="613"/>
      <c r="P249" s="619"/>
    </row>
    <row r="250" spans="1:16" ht="15.5">
      <c r="A250" s="85"/>
      <c r="B250" s="85"/>
      <c r="C250" s="116"/>
      <c r="D250" s="85"/>
      <c r="E250" s="85"/>
      <c r="F250" s="89"/>
      <c r="G250" s="86">
        <v>1</v>
      </c>
      <c r="H250" s="86">
        <v>1</v>
      </c>
      <c r="I250" s="86">
        <v>4</v>
      </c>
      <c r="J250" s="89">
        <v>7.4999999999999997E-3</v>
      </c>
      <c r="K250" s="89">
        <f t="shared" si="15"/>
        <v>0.03</v>
      </c>
      <c r="L250" s="308"/>
      <c r="M250" s="309"/>
      <c r="N250" s="737"/>
      <c r="O250" s="613"/>
      <c r="P250" s="619"/>
    </row>
    <row r="251" spans="1:16" ht="15.5">
      <c r="A251" s="85"/>
      <c r="B251" s="85" t="s">
        <v>175</v>
      </c>
      <c r="C251" s="116"/>
      <c r="D251" s="85"/>
      <c r="E251" s="85"/>
      <c r="F251" s="85"/>
      <c r="G251" s="89">
        <v>0</v>
      </c>
      <c r="H251" s="89">
        <v>0</v>
      </c>
      <c r="I251" s="89">
        <v>0</v>
      </c>
      <c r="J251" s="89">
        <v>0</v>
      </c>
      <c r="K251" s="89">
        <f t="shared" si="15"/>
        <v>0</v>
      </c>
      <c r="L251" s="308"/>
      <c r="M251" s="309"/>
      <c r="N251" s="737"/>
      <c r="O251" s="613"/>
      <c r="P251" s="619"/>
    </row>
    <row r="252" spans="1:16" ht="15.5">
      <c r="A252" s="85"/>
      <c r="B252" s="85" t="s">
        <v>184</v>
      </c>
      <c r="C252" s="116"/>
      <c r="D252" s="85"/>
      <c r="E252" s="85"/>
      <c r="F252" s="85"/>
      <c r="G252" s="86">
        <v>1</v>
      </c>
      <c r="H252" s="86">
        <v>1</v>
      </c>
      <c r="I252" s="86">
        <v>1</v>
      </c>
      <c r="J252" s="88">
        <v>0.08</v>
      </c>
      <c r="K252" s="89">
        <f t="shared" si="15"/>
        <v>0.08</v>
      </c>
      <c r="L252" s="308"/>
      <c r="M252" s="309"/>
      <c r="N252" s="737"/>
      <c r="O252" s="613"/>
      <c r="P252" s="619"/>
    </row>
    <row r="253" spans="1:16" ht="15.5">
      <c r="A253" s="85"/>
      <c r="B253" s="85"/>
      <c r="C253" s="116"/>
      <c r="D253" s="85"/>
      <c r="E253" s="85"/>
      <c r="F253" s="85"/>
      <c r="G253" s="86">
        <v>1</v>
      </c>
      <c r="H253" s="86">
        <v>1</v>
      </c>
      <c r="I253" s="86">
        <v>1</v>
      </c>
      <c r="J253" s="88">
        <v>4.4999999999999998E-2</v>
      </c>
      <c r="K253" s="89">
        <f t="shared" si="15"/>
        <v>4.4999999999999998E-2</v>
      </c>
      <c r="L253" s="308"/>
      <c r="M253" s="309"/>
      <c r="N253" s="737"/>
      <c r="O253" s="613"/>
      <c r="P253" s="619"/>
    </row>
    <row r="254" spans="1:16" ht="15.5">
      <c r="A254" s="85"/>
      <c r="B254" s="85" t="s">
        <v>176</v>
      </c>
      <c r="C254" s="116"/>
      <c r="D254" s="85"/>
      <c r="E254" s="85"/>
      <c r="F254" s="85"/>
      <c r="G254" s="89">
        <v>0</v>
      </c>
      <c r="H254" s="89">
        <v>0</v>
      </c>
      <c r="I254" s="89">
        <v>0</v>
      </c>
      <c r="J254" s="89">
        <v>0</v>
      </c>
      <c r="K254" s="89">
        <v>0</v>
      </c>
      <c r="L254" s="308"/>
      <c r="M254" s="309"/>
      <c r="N254" s="737"/>
      <c r="O254" s="613"/>
      <c r="P254" s="619"/>
    </row>
    <row r="255" spans="1:16" ht="15.5">
      <c r="A255" s="85"/>
      <c r="B255" s="85" t="s">
        <v>177</v>
      </c>
      <c r="C255" s="116"/>
      <c r="D255" s="85"/>
      <c r="E255" s="85"/>
      <c r="F255" s="85"/>
      <c r="G255" s="89">
        <v>0</v>
      </c>
      <c r="H255" s="89">
        <v>0</v>
      </c>
      <c r="I255" s="89">
        <v>0</v>
      </c>
      <c r="J255" s="89">
        <v>0</v>
      </c>
      <c r="K255" s="89">
        <v>0</v>
      </c>
      <c r="L255" s="308"/>
      <c r="M255" s="309"/>
      <c r="N255" s="737"/>
      <c r="O255" s="613"/>
      <c r="P255" s="619"/>
    </row>
    <row r="256" spans="1:16" ht="15.5">
      <c r="A256" s="146"/>
      <c r="B256" s="146" t="s">
        <v>179</v>
      </c>
      <c r="C256" s="118"/>
      <c r="D256" s="104"/>
      <c r="E256" s="104"/>
      <c r="F256" s="104"/>
      <c r="G256" s="105">
        <v>1</v>
      </c>
      <c r="H256" s="106">
        <v>2</v>
      </c>
      <c r="I256" s="105">
        <v>5</v>
      </c>
      <c r="J256" s="144">
        <f>0.004/5</f>
        <v>8.0000000000000004E-4</v>
      </c>
      <c r="K256" s="145">
        <f>+J256*I256*H256*G256</f>
        <v>8.0000000000000002E-3</v>
      </c>
      <c r="L256" s="333"/>
      <c r="M256" s="334"/>
      <c r="N256" s="738"/>
      <c r="O256" s="614"/>
      <c r="P256" s="620"/>
    </row>
    <row r="257" spans="1:16" ht="46.5">
      <c r="A257" s="264"/>
      <c r="B257" s="338" t="s">
        <v>331</v>
      </c>
      <c r="C257" s="245">
        <v>0</v>
      </c>
      <c r="D257" s="245">
        <v>0</v>
      </c>
      <c r="E257" s="235">
        <v>0</v>
      </c>
      <c r="F257" s="235">
        <v>0</v>
      </c>
      <c r="G257" s="241">
        <v>1</v>
      </c>
      <c r="H257" s="242">
        <v>2</v>
      </c>
      <c r="I257" s="241">
        <v>5</v>
      </c>
      <c r="J257" s="243"/>
      <c r="K257" s="239">
        <f>+SUM(K258:K267)</f>
        <v>0.22600000000000001</v>
      </c>
      <c r="L257" s="307">
        <f>+SUM(L258:L265)</f>
        <v>0</v>
      </c>
      <c r="M257" s="307">
        <f>+K257-L257</f>
        <v>0.22600000000000001</v>
      </c>
      <c r="N257" s="736" t="s">
        <v>339</v>
      </c>
      <c r="O257" s="612" t="s">
        <v>367</v>
      </c>
      <c r="P257" s="618" t="s">
        <v>245</v>
      </c>
    </row>
    <row r="258" spans="1:16" ht="15.5">
      <c r="A258" s="102"/>
      <c r="B258" s="102" t="s">
        <v>172</v>
      </c>
      <c r="C258" s="116"/>
      <c r="D258" s="85"/>
      <c r="E258" s="85"/>
      <c r="F258" s="85"/>
      <c r="G258" s="86">
        <v>1</v>
      </c>
      <c r="H258" s="87">
        <v>2</v>
      </c>
      <c r="I258" s="86">
        <v>5</v>
      </c>
      <c r="J258" s="88">
        <v>3.0999999999999999E-3</v>
      </c>
      <c r="K258" s="89">
        <f>+J258*I258*H258</f>
        <v>3.1E-2</v>
      </c>
      <c r="L258" s="308"/>
      <c r="M258" s="309"/>
      <c r="N258" s="737"/>
      <c r="O258" s="613"/>
      <c r="P258" s="619"/>
    </row>
    <row r="259" spans="1:16" ht="15.5">
      <c r="A259" s="85"/>
      <c r="B259" s="85" t="s">
        <v>173</v>
      </c>
      <c r="C259" s="116"/>
      <c r="D259" s="85"/>
      <c r="E259" s="85"/>
      <c r="F259" s="85"/>
      <c r="G259" s="86">
        <v>0</v>
      </c>
      <c r="H259" s="87">
        <v>0</v>
      </c>
      <c r="I259" s="86">
        <v>0</v>
      </c>
      <c r="J259" s="88">
        <v>0</v>
      </c>
      <c r="K259" s="89">
        <f t="shared" ref="K259:K267" si="16">+J259*I259*H259*G259</f>
        <v>0</v>
      </c>
      <c r="L259" s="308"/>
      <c r="M259" s="309"/>
      <c r="N259" s="737"/>
      <c r="O259" s="613"/>
      <c r="P259" s="619"/>
    </row>
    <row r="260" spans="1:16" ht="15.5">
      <c r="A260" s="85"/>
      <c r="B260" s="85" t="s">
        <v>174</v>
      </c>
      <c r="C260" s="116"/>
      <c r="D260" s="85"/>
      <c r="E260" s="85"/>
      <c r="F260" s="85"/>
      <c r="G260" s="86">
        <v>1</v>
      </c>
      <c r="H260" s="87">
        <v>1</v>
      </c>
      <c r="I260" s="86">
        <v>4</v>
      </c>
      <c r="J260" s="88">
        <v>8.0000000000000002E-3</v>
      </c>
      <c r="K260" s="89">
        <f t="shared" si="16"/>
        <v>3.2000000000000001E-2</v>
      </c>
      <c r="L260" s="308"/>
      <c r="M260" s="309"/>
      <c r="N260" s="737"/>
      <c r="O260" s="613"/>
      <c r="P260" s="619"/>
    </row>
    <row r="261" spans="1:16" ht="15.5">
      <c r="A261" s="85"/>
      <c r="B261" s="85"/>
      <c r="C261" s="116"/>
      <c r="D261" s="85"/>
      <c r="E261" s="85"/>
      <c r="F261" s="85"/>
      <c r="G261" s="86">
        <v>1</v>
      </c>
      <c r="H261" s="87">
        <v>1</v>
      </c>
      <c r="I261" s="86">
        <v>4</v>
      </c>
      <c r="J261" s="88">
        <v>7.4999999999999997E-3</v>
      </c>
      <c r="K261" s="89">
        <f t="shared" si="16"/>
        <v>0.03</v>
      </c>
      <c r="L261" s="308"/>
      <c r="M261" s="309"/>
      <c r="N261" s="737"/>
      <c r="O261" s="613"/>
      <c r="P261" s="619"/>
    </row>
    <row r="262" spans="1:16" ht="15.5">
      <c r="A262" s="85"/>
      <c r="B262" s="85" t="s">
        <v>175</v>
      </c>
      <c r="C262" s="116"/>
      <c r="D262" s="85"/>
      <c r="E262" s="85"/>
      <c r="F262" s="85"/>
      <c r="G262" s="86">
        <v>0</v>
      </c>
      <c r="H262" s="87">
        <v>0</v>
      </c>
      <c r="I262" s="86">
        <v>0</v>
      </c>
      <c r="J262" s="88">
        <v>0</v>
      </c>
      <c r="K262" s="89">
        <f t="shared" si="16"/>
        <v>0</v>
      </c>
      <c r="L262" s="308"/>
      <c r="M262" s="309"/>
      <c r="N262" s="737"/>
      <c r="O262" s="613"/>
      <c r="P262" s="619"/>
    </row>
    <row r="263" spans="1:16" ht="15.5">
      <c r="A263" s="85"/>
      <c r="B263" s="85" t="s">
        <v>184</v>
      </c>
      <c r="C263" s="116"/>
      <c r="D263" s="85"/>
      <c r="E263" s="85"/>
      <c r="F263" s="85"/>
      <c r="G263" s="86">
        <v>1</v>
      </c>
      <c r="H263" s="87">
        <v>1</v>
      </c>
      <c r="I263" s="86">
        <v>1</v>
      </c>
      <c r="J263" s="88">
        <v>0.08</v>
      </c>
      <c r="K263" s="89">
        <f t="shared" si="16"/>
        <v>0.08</v>
      </c>
      <c r="L263" s="308"/>
      <c r="M263" s="309"/>
      <c r="N263" s="737"/>
      <c r="O263" s="613"/>
      <c r="P263" s="619"/>
    </row>
    <row r="264" spans="1:16" ht="15.5">
      <c r="A264" s="85"/>
      <c r="B264" s="85"/>
      <c r="C264" s="116"/>
      <c r="D264" s="85"/>
      <c r="E264" s="85"/>
      <c r="F264" s="85"/>
      <c r="G264" s="86">
        <v>1</v>
      </c>
      <c r="H264" s="87">
        <v>1</v>
      </c>
      <c r="I264" s="86">
        <v>1</v>
      </c>
      <c r="J264" s="88">
        <v>4.4999999999999998E-2</v>
      </c>
      <c r="K264" s="89">
        <f t="shared" si="16"/>
        <v>4.4999999999999998E-2</v>
      </c>
      <c r="L264" s="308"/>
      <c r="M264" s="309"/>
      <c r="N264" s="737"/>
      <c r="O264" s="613"/>
      <c r="P264" s="619"/>
    </row>
    <row r="265" spans="1:16" ht="15.5">
      <c r="A265" s="85"/>
      <c r="B265" s="85" t="s">
        <v>176</v>
      </c>
      <c r="C265" s="116"/>
      <c r="D265" s="85"/>
      <c r="E265" s="85"/>
      <c r="F265" s="85"/>
      <c r="G265" s="86">
        <v>0</v>
      </c>
      <c r="H265" s="87">
        <v>0</v>
      </c>
      <c r="I265" s="86">
        <v>0</v>
      </c>
      <c r="J265" s="88">
        <v>0</v>
      </c>
      <c r="K265" s="89">
        <f t="shared" si="16"/>
        <v>0</v>
      </c>
      <c r="L265" s="308"/>
      <c r="M265" s="309"/>
      <c r="N265" s="737"/>
      <c r="O265" s="613"/>
      <c r="P265" s="619"/>
    </row>
    <row r="266" spans="1:16" ht="15.5">
      <c r="A266" s="85"/>
      <c r="B266" s="85" t="s">
        <v>177</v>
      </c>
      <c r="C266" s="116"/>
      <c r="D266" s="85"/>
      <c r="E266" s="85"/>
      <c r="F266" s="85"/>
      <c r="G266" s="86">
        <v>0</v>
      </c>
      <c r="H266" s="87">
        <v>0</v>
      </c>
      <c r="I266" s="86">
        <v>0</v>
      </c>
      <c r="J266" s="88">
        <v>0</v>
      </c>
      <c r="K266" s="89">
        <f t="shared" si="16"/>
        <v>0</v>
      </c>
      <c r="L266" s="308"/>
      <c r="M266" s="309"/>
      <c r="N266" s="737"/>
      <c r="O266" s="613"/>
      <c r="P266" s="619"/>
    </row>
    <row r="267" spans="1:16" ht="15.5">
      <c r="A267" s="146"/>
      <c r="B267" s="146" t="s">
        <v>179</v>
      </c>
      <c r="C267" s="118"/>
      <c r="D267" s="104"/>
      <c r="E267" s="104"/>
      <c r="F267" s="104"/>
      <c r="G267" s="105">
        <v>1</v>
      </c>
      <c r="H267" s="106">
        <v>2</v>
      </c>
      <c r="I267" s="105">
        <v>5</v>
      </c>
      <c r="J267" s="144">
        <f>0.004/5</f>
        <v>8.0000000000000004E-4</v>
      </c>
      <c r="K267" s="145">
        <f t="shared" si="16"/>
        <v>8.0000000000000002E-3</v>
      </c>
      <c r="L267" s="333"/>
      <c r="M267" s="334"/>
      <c r="N267" s="738"/>
      <c r="O267" s="614"/>
      <c r="P267" s="620"/>
    </row>
    <row r="268" spans="1:16" ht="93">
      <c r="A268" s="264"/>
      <c r="B268" s="264" t="s">
        <v>227</v>
      </c>
      <c r="C268" s="265">
        <v>0</v>
      </c>
      <c r="D268" s="266">
        <v>0</v>
      </c>
      <c r="E268" s="249">
        <v>0.13389999999999999</v>
      </c>
      <c r="F268" s="240" t="s">
        <v>208</v>
      </c>
      <c r="G268" s="246">
        <v>1</v>
      </c>
      <c r="H268" s="247">
        <v>2</v>
      </c>
      <c r="I268" s="246">
        <v>3</v>
      </c>
      <c r="J268" s="267"/>
      <c r="K268" s="239">
        <f>+SUM(K269:K278)</f>
        <v>9.06E-2</v>
      </c>
      <c r="L268" s="307">
        <f>+SUM(L269:L276)</f>
        <v>0</v>
      </c>
      <c r="M268" s="307">
        <f>+K268-L268</f>
        <v>9.06E-2</v>
      </c>
      <c r="N268" s="736" t="s">
        <v>149</v>
      </c>
      <c r="O268" s="612" t="s">
        <v>368</v>
      </c>
      <c r="P268" s="618" t="s">
        <v>246</v>
      </c>
    </row>
    <row r="269" spans="1:16" ht="15.5">
      <c r="A269" s="102"/>
      <c r="B269" s="102" t="s">
        <v>172</v>
      </c>
      <c r="C269" s="116"/>
      <c r="D269" s="85"/>
      <c r="E269" s="85"/>
      <c r="F269" s="85"/>
      <c r="G269" s="86">
        <v>1</v>
      </c>
      <c r="H269" s="87">
        <v>2</v>
      </c>
      <c r="I269" s="86">
        <v>3</v>
      </c>
      <c r="J269" s="88">
        <v>3.0999999999999999E-3</v>
      </c>
      <c r="K269" s="89">
        <f>+J269*I269*H269</f>
        <v>1.8599999999999998E-2</v>
      </c>
      <c r="L269" s="308"/>
      <c r="M269" s="309"/>
      <c r="N269" s="737"/>
      <c r="O269" s="613"/>
      <c r="P269" s="619"/>
    </row>
    <row r="270" spans="1:16" ht="15.5">
      <c r="A270" s="85"/>
      <c r="B270" s="85" t="s">
        <v>173</v>
      </c>
      <c r="C270" s="116"/>
      <c r="D270" s="85"/>
      <c r="E270" s="85"/>
      <c r="F270" s="85"/>
      <c r="G270" s="86">
        <v>0</v>
      </c>
      <c r="H270" s="87">
        <v>0</v>
      </c>
      <c r="I270" s="86">
        <v>0</v>
      </c>
      <c r="J270" s="88">
        <v>2.0999999999999999E-3</v>
      </c>
      <c r="K270" s="89">
        <f t="shared" ref="K270:K278" si="17">+J270*I270*H270*G270</f>
        <v>0</v>
      </c>
      <c r="L270" s="308"/>
      <c r="M270" s="309"/>
      <c r="N270" s="737"/>
      <c r="O270" s="613"/>
      <c r="P270" s="619"/>
    </row>
    <row r="271" spans="1:16" ht="15.5">
      <c r="A271" s="151"/>
      <c r="B271" s="151" t="s">
        <v>174</v>
      </c>
      <c r="C271" s="116"/>
      <c r="D271" s="85"/>
      <c r="E271" s="85"/>
      <c r="F271" s="85"/>
      <c r="G271" s="86">
        <v>1</v>
      </c>
      <c r="H271" s="87">
        <v>1</v>
      </c>
      <c r="I271" s="86">
        <v>2</v>
      </c>
      <c r="J271" s="88">
        <v>6.0000000000000001E-3</v>
      </c>
      <c r="K271" s="89">
        <f t="shared" si="17"/>
        <v>1.2E-2</v>
      </c>
      <c r="L271" s="308"/>
      <c r="M271" s="309"/>
      <c r="N271" s="737"/>
      <c r="O271" s="613"/>
      <c r="P271" s="619"/>
    </row>
    <row r="272" spans="1:16" ht="15.5">
      <c r="A272" s="141"/>
      <c r="B272" s="141"/>
      <c r="C272" s="116"/>
      <c r="D272" s="85"/>
      <c r="E272" s="85"/>
      <c r="F272" s="85"/>
      <c r="G272" s="86">
        <v>1</v>
      </c>
      <c r="H272" s="87">
        <v>1</v>
      </c>
      <c r="I272" s="86">
        <v>2</v>
      </c>
      <c r="J272" s="88">
        <v>5.0000000000000001E-3</v>
      </c>
      <c r="K272" s="89">
        <f t="shared" si="17"/>
        <v>0.01</v>
      </c>
      <c r="L272" s="308"/>
      <c r="M272" s="309"/>
      <c r="N272" s="737"/>
      <c r="O272" s="613"/>
      <c r="P272" s="619"/>
    </row>
    <row r="273" spans="1:16" ht="15.5">
      <c r="A273" s="85"/>
      <c r="B273" s="85" t="s">
        <v>175</v>
      </c>
      <c r="C273" s="116"/>
      <c r="D273" s="85"/>
      <c r="E273" s="85"/>
      <c r="F273" s="85"/>
      <c r="G273" s="89">
        <v>0</v>
      </c>
      <c r="H273" s="89">
        <v>0</v>
      </c>
      <c r="I273" s="89">
        <v>0</v>
      </c>
      <c r="J273" s="88">
        <v>0</v>
      </c>
      <c r="K273" s="89">
        <f t="shared" si="17"/>
        <v>0</v>
      </c>
      <c r="L273" s="308"/>
      <c r="M273" s="309"/>
      <c r="N273" s="737"/>
      <c r="O273" s="613"/>
      <c r="P273" s="619"/>
    </row>
    <row r="274" spans="1:16" ht="15.5">
      <c r="A274" s="151"/>
      <c r="B274" s="151" t="s">
        <v>184</v>
      </c>
      <c r="C274" s="116"/>
      <c r="D274" s="85"/>
      <c r="E274" s="85"/>
      <c r="F274" s="85"/>
      <c r="G274" s="86">
        <v>1</v>
      </c>
      <c r="H274" s="87">
        <v>1</v>
      </c>
      <c r="I274" s="86">
        <v>1</v>
      </c>
      <c r="J274" s="88">
        <v>2.5000000000000001E-2</v>
      </c>
      <c r="K274" s="89">
        <f t="shared" si="17"/>
        <v>2.5000000000000001E-2</v>
      </c>
      <c r="L274" s="309"/>
      <c r="M274" s="309"/>
      <c r="N274" s="737"/>
      <c r="O274" s="613"/>
      <c r="P274" s="619"/>
    </row>
    <row r="275" spans="1:16" ht="15.5">
      <c r="A275" s="141"/>
      <c r="B275" s="141"/>
      <c r="C275" s="116"/>
      <c r="D275" s="85"/>
      <c r="E275" s="85"/>
      <c r="F275" s="85"/>
      <c r="G275" s="86">
        <v>1</v>
      </c>
      <c r="H275" s="87">
        <v>1</v>
      </c>
      <c r="I275" s="86">
        <v>1</v>
      </c>
      <c r="J275" s="88">
        <v>1.7000000000000001E-2</v>
      </c>
      <c r="K275" s="89">
        <f t="shared" si="17"/>
        <v>1.7000000000000001E-2</v>
      </c>
      <c r="L275" s="309"/>
      <c r="M275" s="309"/>
      <c r="N275" s="737"/>
      <c r="O275" s="613"/>
      <c r="P275" s="619"/>
    </row>
    <row r="276" spans="1:16" ht="15.5">
      <c r="A276" s="85"/>
      <c r="B276" s="85" t="s">
        <v>176</v>
      </c>
      <c r="C276" s="116"/>
      <c r="D276" s="85"/>
      <c r="E276" s="85"/>
      <c r="F276" s="85"/>
      <c r="G276" s="86">
        <v>0</v>
      </c>
      <c r="H276" s="87">
        <v>0</v>
      </c>
      <c r="I276" s="86">
        <v>0</v>
      </c>
      <c r="J276" s="88">
        <v>0</v>
      </c>
      <c r="K276" s="89">
        <f t="shared" si="17"/>
        <v>0</v>
      </c>
      <c r="L276" s="309"/>
      <c r="M276" s="309"/>
      <c r="N276" s="737"/>
      <c r="O276" s="613"/>
      <c r="P276" s="619"/>
    </row>
    <row r="277" spans="1:16" ht="15.5">
      <c r="A277" s="85"/>
      <c r="B277" s="85" t="s">
        <v>177</v>
      </c>
      <c r="C277" s="116"/>
      <c r="D277" s="85"/>
      <c r="E277" s="85"/>
      <c r="F277" s="85"/>
      <c r="G277" s="86">
        <v>0</v>
      </c>
      <c r="H277" s="87">
        <v>0</v>
      </c>
      <c r="I277" s="86">
        <v>0</v>
      </c>
      <c r="J277" s="88">
        <v>0</v>
      </c>
      <c r="K277" s="89">
        <f t="shared" si="17"/>
        <v>0</v>
      </c>
      <c r="L277" s="309"/>
      <c r="M277" s="309"/>
      <c r="N277" s="737"/>
      <c r="O277" s="613"/>
      <c r="P277" s="619"/>
    </row>
    <row r="278" spans="1:16" ht="15.5">
      <c r="A278" s="104"/>
      <c r="B278" s="104" t="s">
        <v>179</v>
      </c>
      <c r="C278" s="118"/>
      <c r="D278" s="104"/>
      <c r="E278" s="104"/>
      <c r="F278" s="104"/>
      <c r="G278" s="95">
        <v>1</v>
      </c>
      <c r="H278" s="96">
        <v>2</v>
      </c>
      <c r="I278" s="95">
        <v>3</v>
      </c>
      <c r="J278" s="125">
        <f>0.004/3</f>
        <v>1.33333333333333E-3</v>
      </c>
      <c r="K278" s="122">
        <f t="shared" si="17"/>
        <v>8.0000000000000002E-3</v>
      </c>
      <c r="L278" s="311"/>
      <c r="M278" s="311"/>
      <c r="N278" s="738"/>
      <c r="O278" s="614"/>
      <c r="P278" s="620"/>
    </row>
    <row r="279" spans="1:16" s="340" customFormat="1" ht="43.5">
      <c r="A279" s="244"/>
      <c r="B279" s="244" t="s">
        <v>228</v>
      </c>
      <c r="C279" s="249">
        <v>4.4400000000000002E-2</v>
      </c>
      <c r="D279" s="249">
        <v>3.0745999999999999E-2</v>
      </c>
      <c r="E279" s="249">
        <v>4.8399999999999999E-2</v>
      </c>
      <c r="F279" s="339" t="s">
        <v>208</v>
      </c>
      <c r="G279" s="246">
        <v>1</v>
      </c>
      <c r="H279" s="247">
        <v>2</v>
      </c>
      <c r="I279" s="246">
        <v>4</v>
      </c>
      <c r="J279" s="248"/>
      <c r="K279" s="239">
        <f>+SUM(K280:K287)</f>
        <v>9.1399999999999995E-2</v>
      </c>
      <c r="L279" s="307">
        <f>+SUM(L280:L287)</f>
        <v>0</v>
      </c>
      <c r="M279" s="307">
        <f>+K279-L279</f>
        <v>9.1399999999999995E-2</v>
      </c>
      <c r="N279" s="736" t="s">
        <v>342</v>
      </c>
      <c r="O279" s="612" t="s">
        <v>369</v>
      </c>
      <c r="P279" s="629" t="s">
        <v>234</v>
      </c>
    </row>
    <row r="280" spans="1:16" s="340" customFormat="1" ht="15.5">
      <c r="A280" s="102"/>
      <c r="B280" s="102" t="s">
        <v>172</v>
      </c>
      <c r="C280" s="102"/>
      <c r="D280" s="102"/>
      <c r="E280" s="85"/>
      <c r="F280" s="85"/>
      <c r="G280" s="86">
        <v>0</v>
      </c>
      <c r="H280" s="87">
        <v>0</v>
      </c>
      <c r="I280" s="86">
        <v>0</v>
      </c>
      <c r="J280" s="88">
        <v>0</v>
      </c>
      <c r="K280" s="89">
        <f>+J280*I280</f>
        <v>0</v>
      </c>
      <c r="L280" s="309"/>
      <c r="M280" s="309"/>
      <c r="N280" s="737"/>
      <c r="O280" s="613"/>
      <c r="P280" s="630"/>
    </row>
    <row r="281" spans="1:16" s="340" customFormat="1" ht="15.5">
      <c r="A281" s="85"/>
      <c r="B281" s="85" t="s">
        <v>173</v>
      </c>
      <c r="C281" s="85"/>
      <c r="D281" s="85"/>
      <c r="E281" s="85"/>
      <c r="F281" s="85"/>
      <c r="G281" s="86">
        <v>1</v>
      </c>
      <c r="H281" s="87">
        <v>2</v>
      </c>
      <c r="I281" s="86">
        <v>4</v>
      </c>
      <c r="J281" s="88">
        <v>2.0999999999999999E-3</v>
      </c>
      <c r="K281" s="85">
        <f>+J281*I281*H281*G281</f>
        <v>1.6799999999999999E-2</v>
      </c>
      <c r="L281" s="111"/>
      <c r="M281" s="111"/>
      <c r="N281" s="737"/>
      <c r="O281" s="613"/>
      <c r="P281" s="630"/>
    </row>
    <row r="282" spans="1:16" s="340" customFormat="1" ht="15.5">
      <c r="A282" s="85"/>
      <c r="B282" s="85" t="s">
        <v>174</v>
      </c>
      <c r="C282" s="85"/>
      <c r="D282" s="85"/>
      <c r="E282" s="85"/>
      <c r="F282" s="85"/>
      <c r="G282" s="86">
        <v>0</v>
      </c>
      <c r="H282" s="87">
        <v>0</v>
      </c>
      <c r="I282" s="86">
        <v>0</v>
      </c>
      <c r="J282" s="88">
        <v>0</v>
      </c>
      <c r="K282" s="89">
        <f>+J282*I282</f>
        <v>0</v>
      </c>
      <c r="L282" s="309"/>
      <c r="M282" s="309"/>
      <c r="N282" s="737"/>
      <c r="O282" s="613"/>
      <c r="P282" s="630"/>
    </row>
    <row r="283" spans="1:16" s="340" customFormat="1" ht="15.5">
      <c r="A283" s="85"/>
      <c r="B283" s="85" t="s">
        <v>175</v>
      </c>
      <c r="C283" s="85"/>
      <c r="D283" s="85"/>
      <c r="E283" s="85"/>
      <c r="F283" s="85"/>
      <c r="G283" s="86">
        <v>1</v>
      </c>
      <c r="H283" s="87">
        <v>2</v>
      </c>
      <c r="I283" s="86">
        <v>3</v>
      </c>
      <c r="J283" s="88">
        <f>0.005</f>
        <v>5.0000000000000001E-3</v>
      </c>
      <c r="K283" s="89">
        <f>+J283*I283*H283*G283</f>
        <v>0.03</v>
      </c>
      <c r="L283" s="309"/>
      <c r="M283" s="309"/>
      <c r="N283" s="737"/>
      <c r="O283" s="613"/>
      <c r="P283" s="630"/>
    </row>
    <row r="284" spans="1:16" s="340" customFormat="1" ht="15.5">
      <c r="A284" s="85"/>
      <c r="B284" s="85" t="s">
        <v>184</v>
      </c>
      <c r="C284" s="85"/>
      <c r="D284" s="85"/>
      <c r="E284" s="85"/>
      <c r="F284" s="85"/>
      <c r="G284" s="86">
        <v>1</v>
      </c>
      <c r="H284" s="87">
        <v>2</v>
      </c>
      <c r="I284" s="86">
        <v>1</v>
      </c>
      <c r="J284" s="88">
        <f>0.018</f>
        <v>1.7999999999999999E-2</v>
      </c>
      <c r="K284" s="89">
        <f>+J284*I284*H284*G284</f>
        <v>3.5999999999999997E-2</v>
      </c>
      <c r="L284" s="309"/>
      <c r="M284" s="309"/>
      <c r="N284" s="737"/>
      <c r="O284" s="613"/>
      <c r="P284" s="630"/>
    </row>
    <row r="285" spans="1:16" s="340" customFormat="1" ht="15.5">
      <c r="A285" s="85"/>
      <c r="B285" s="85" t="s">
        <v>176</v>
      </c>
      <c r="C285" s="85"/>
      <c r="D285" s="85"/>
      <c r="E285" s="85"/>
      <c r="F285" s="85"/>
      <c r="G285" s="89">
        <v>0</v>
      </c>
      <c r="H285" s="89">
        <v>0</v>
      </c>
      <c r="I285" s="89">
        <v>0</v>
      </c>
      <c r="J285" s="88">
        <v>0</v>
      </c>
      <c r="K285" s="89">
        <f>+J285*I285</f>
        <v>0</v>
      </c>
      <c r="L285" s="309"/>
      <c r="M285" s="309"/>
      <c r="N285" s="737"/>
      <c r="O285" s="613"/>
      <c r="P285" s="630"/>
    </row>
    <row r="286" spans="1:16" s="340" customFormat="1" ht="15.5">
      <c r="A286" s="85"/>
      <c r="B286" s="85" t="s">
        <v>177</v>
      </c>
      <c r="C286" s="85"/>
      <c r="D286" s="85"/>
      <c r="E286" s="85"/>
      <c r="F286" s="85"/>
      <c r="G286" s="89">
        <v>0</v>
      </c>
      <c r="H286" s="89">
        <v>0</v>
      </c>
      <c r="I286" s="89">
        <v>0</v>
      </c>
      <c r="J286" s="88">
        <v>0</v>
      </c>
      <c r="K286" s="89">
        <f>+J286*I286</f>
        <v>0</v>
      </c>
      <c r="L286" s="309"/>
      <c r="M286" s="309"/>
      <c r="N286" s="737"/>
      <c r="O286" s="613"/>
      <c r="P286" s="630"/>
    </row>
    <row r="287" spans="1:16" s="340" customFormat="1" ht="15.5">
      <c r="A287" s="103"/>
      <c r="B287" s="103" t="s">
        <v>179</v>
      </c>
      <c r="C287" s="104"/>
      <c r="D287" s="104"/>
      <c r="E287" s="104"/>
      <c r="F287" s="104"/>
      <c r="G287" s="105">
        <v>1</v>
      </c>
      <c r="H287" s="106">
        <v>2</v>
      </c>
      <c r="I287" s="105">
        <v>4</v>
      </c>
      <c r="J287" s="107">
        <f>0.0043/4</f>
        <v>1.075E-3</v>
      </c>
      <c r="K287" s="103">
        <f>+J287*I287*H287*G287</f>
        <v>8.6E-3</v>
      </c>
      <c r="L287" s="148"/>
      <c r="M287" s="148"/>
      <c r="N287" s="738"/>
      <c r="O287" s="614"/>
      <c r="P287" s="631"/>
    </row>
    <row r="288" spans="1:16" s="340" customFormat="1" ht="31">
      <c r="A288" s="244"/>
      <c r="B288" s="244" t="s">
        <v>229</v>
      </c>
      <c r="C288" s="249">
        <v>0</v>
      </c>
      <c r="D288" s="249">
        <v>0</v>
      </c>
      <c r="E288" s="249">
        <v>0.13489999999999999</v>
      </c>
      <c r="F288" s="240">
        <v>6.4999999999999997E-3</v>
      </c>
      <c r="G288" s="246">
        <v>1</v>
      </c>
      <c r="H288" s="247">
        <v>2</v>
      </c>
      <c r="I288" s="246">
        <v>4</v>
      </c>
      <c r="J288" s="274"/>
      <c r="K288" s="239">
        <f>+SUM(K289:K298)</f>
        <v>0.2878</v>
      </c>
      <c r="L288" s="307">
        <f>+SUM(L289:L296)</f>
        <v>0</v>
      </c>
      <c r="M288" s="307">
        <f>+K288-L288</f>
        <v>0.2878</v>
      </c>
      <c r="N288" s="736" t="s">
        <v>343</v>
      </c>
      <c r="O288" s="612" t="s">
        <v>370</v>
      </c>
      <c r="P288" s="615" t="s">
        <v>247</v>
      </c>
    </row>
    <row r="289" spans="1:16" s="340" customFormat="1" ht="15.5">
      <c r="A289" s="102"/>
      <c r="B289" s="102" t="s">
        <v>172</v>
      </c>
      <c r="C289" s="89"/>
      <c r="D289" s="102"/>
      <c r="E289" s="85"/>
      <c r="F289" s="85"/>
      <c r="G289" s="86">
        <v>1</v>
      </c>
      <c r="H289" s="87">
        <v>2</v>
      </c>
      <c r="I289" s="86">
        <v>4</v>
      </c>
      <c r="J289" s="88">
        <v>3.0999999999999999E-3</v>
      </c>
      <c r="K289" s="85">
        <f>+J289*I289*H289*G289</f>
        <v>2.4799999999999999E-2</v>
      </c>
      <c r="L289" s="111"/>
      <c r="M289" s="111"/>
      <c r="N289" s="737"/>
      <c r="O289" s="613"/>
      <c r="P289" s="616"/>
    </row>
    <row r="290" spans="1:16" s="340" customFormat="1" ht="15.5">
      <c r="A290" s="85"/>
      <c r="B290" s="85" t="s">
        <v>173</v>
      </c>
      <c r="C290" s="85"/>
      <c r="D290" s="85"/>
      <c r="E290" s="85"/>
      <c r="F290" s="85"/>
      <c r="G290" s="89">
        <v>0</v>
      </c>
      <c r="H290" s="89">
        <v>0</v>
      </c>
      <c r="I290" s="89">
        <v>0</v>
      </c>
      <c r="J290" s="88">
        <v>0</v>
      </c>
      <c r="K290" s="89">
        <f>+J290*I290</f>
        <v>0</v>
      </c>
      <c r="L290" s="309"/>
      <c r="M290" s="309"/>
      <c r="N290" s="737"/>
      <c r="O290" s="613"/>
      <c r="P290" s="616"/>
    </row>
    <row r="291" spans="1:16" s="340" customFormat="1" ht="15.5">
      <c r="A291" s="85"/>
      <c r="B291" s="85" t="s">
        <v>174</v>
      </c>
      <c r="C291" s="89"/>
      <c r="D291" s="85"/>
      <c r="E291" s="85"/>
      <c r="F291" s="85"/>
      <c r="G291" s="86">
        <v>1</v>
      </c>
      <c r="H291" s="87">
        <v>1</v>
      </c>
      <c r="I291" s="86">
        <v>3</v>
      </c>
      <c r="J291" s="88">
        <f>0.008</f>
        <v>8.0000000000000002E-3</v>
      </c>
      <c r="K291" s="89">
        <f>+J291*I291</f>
        <v>2.4E-2</v>
      </c>
      <c r="L291" s="309"/>
      <c r="M291" s="309"/>
      <c r="N291" s="737"/>
      <c r="O291" s="613"/>
      <c r="P291" s="616"/>
    </row>
    <row r="292" spans="1:16" s="340" customFormat="1" ht="15.5">
      <c r="A292" s="85"/>
      <c r="B292" s="85"/>
      <c r="C292" s="89"/>
      <c r="D292" s="85"/>
      <c r="E292" s="85"/>
      <c r="F292" s="85"/>
      <c r="G292" s="86">
        <v>1</v>
      </c>
      <c r="H292" s="87">
        <v>1</v>
      </c>
      <c r="I292" s="86">
        <v>3</v>
      </c>
      <c r="J292" s="88">
        <f>0.007</f>
        <v>7.0000000000000001E-3</v>
      </c>
      <c r="K292" s="89">
        <f>+J292*I292*H292*G292</f>
        <v>2.1000000000000001E-2</v>
      </c>
      <c r="L292" s="309"/>
      <c r="M292" s="309"/>
      <c r="N292" s="737"/>
      <c r="O292" s="613"/>
      <c r="P292" s="616"/>
    </row>
    <row r="293" spans="1:16" s="340" customFormat="1" ht="15.5">
      <c r="A293" s="85"/>
      <c r="B293" s="85" t="s">
        <v>175</v>
      </c>
      <c r="C293" s="85"/>
      <c r="D293" s="85"/>
      <c r="E293" s="85"/>
      <c r="F293" s="85"/>
      <c r="G293" s="89">
        <v>0</v>
      </c>
      <c r="H293" s="89">
        <v>0</v>
      </c>
      <c r="I293" s="89">
        <v>0</v>
      </c>
      <c r="J293" s="88">
        <v>0</v>
      </c>
      <c r="K293" s="89">
        <f>+J293*I293</f>
        <v>0</v>
      </c>
      <c r="L293" s="309"/>
      <c r="M293" s="309"/>
      <c r="N293" s="737"/>
      <c r="O293" s="613"/>
      <c r="P293" s="616"/>
    </row>
    <row r="294" spans="1:16" s="340" customFormat="1" ht="15.5">
      <c r="A294" s="85"/>
      <c r="B294" s="85" t="s">
        <v>184</v>
      </c>
      <c r="C294" s="89"/>
      <c r="D294" s="85"/>
      <c r="E294" s="85"/>
      <c r="F294" s="85"/>
      <c r="G294" s="86">
        <v>1</v>
      </c>
      <c r="H294" s="87">
        <v>1</v>
      </c>
      <c r="I294" s="86">
        <v>1</v>
      </c>
      <c r="J294" s="88">
        <f>0.1335</f>
        <v>0.13350000000000001</v>
      </c>
      <c r="K294" s="89">
        <f>+J294*I294*H294*G294</f>
        <v>0.13350000000000001</v>
      </c>
      <c r="L294" s="309"/>
      <c r="M294" s="309"/>
      <c r="N294" s="737"/>
      <c r="O294" s="613"/>
      <c r="P294" s="616"/>
    </row>
    <row r="295" spans="1:16" s="340" customFormat="1" ht="15.5">
      <c r="A295" s="85"/>
      <c r="B295" s="85"/>
      <c r="C295" s="85"/>
      <c r="D295" s="85"/>
      <c r="E295" s="85"/>
      <c r="F295" s="85"/>
      <c r="G295" s="86">
        <v>1</v>
      </c>
      <c r="H295" s="87">
        <v>1</v>
      </c>
      <c r="I295" s="86">
        <v>1</v>
      </c>
      <c r="J295" s="88">
        <f>0.0565</f>
        <v>5.6500000000000002E-2</v>
      </c>
      <c r="K295" s="89">
        <f>+J295*I295*H295*G295</f>
        <v>5.6500000000000002E-2</v>
      </c>
      <c r="L295" s="309"/>
      <c r="M295" s="309"/>
      <c r="N295" s="737"/>
      <c r="O295" s="613"/>
      <c r="P295" s="616"/>
    </row>
    <row r="296" spans="1:16" s="340" customFormat="1" ht="15.5">
      <c r="A296" s="85"/>
      <c r="B296" s="85" t="s">
        <v>176</v>
      </c>
      <c r="C296" s="85"/>
      <c r="D296" s="85"/>
      <c r="E296" s="85"/>
      <c r="F296" s="85"/>
      <c r="G296" s="86">
        <v>1</v>
      </c>
      <c r="H296" s="87">
        <v>2</v>
      </c>
      <c r="I296" s="86">
        <v>1</v>
      </c>
      <c r="J296" s="88">
        <v>8.9999999999999993E-3</v>
      </c>
      <c r="K296" s="89">
        <f>+J296*I296*H296</f>
        <v>1.7999999999999999E-2</v>
      </c>
      <c r="L296" s="309"/>
      <c r="M296" s="309"/>
      <c r="N296" s="737"/>
      <c r="O296" s="613"/>
      <c r="P296" s="616"/>
    </row>
    <row r="297" spans="1:16" s="340" customFormat="1" ht="15.5">
      <c r="A297" s="85"/>
      <c r="B297" s="85" t="s">
        <v>177</v>
      </c>
      <c r="C297" s="85"/>
      <c r="D297" s="85"/>
      <c r="E297" s="85"/>
      <c r="F297" s="85"/>
      <c r="G297" s="86">
        <v>0</v>
      </c>
      <c r="H297" s="87">
        <v>0</v>
      </c>
      <c r="I297" s="86">
        <v>0</v>
      </c>
      <c r="J297" s="88">
        <v>0</v>
      </c>
      <c r="K297" s="89">
        <f>+J297*I297</f>
        <v>0</v>
      </c>
      <c r="L297" s="309"/>
      <c r="M297" s="309"/>
      <c r="N297" s="737"/>
      <c r="O297" s="613"/>
      <c r="P297" s="616"/>
    </row>
    <row r="298" spans="1:16" s="340" customFormat="1" ht="15.5">
      <c r="A298" s="103"/>
      <c r="B298" s="103" t="s">
        <v>179</v>
      </c>
      <c r="C298" s="104"/>
      <c r="D298" s="104"/>
      <c r="E298" s="104"/>
      <c r="F298" s="104"/>
      <c r="G298" s="105">
        <v>1</v>
      </c>
      <c r="H298" s="106">
        <v>2</v>
      </c>
      <c r="I298" s="105">
        <v>4</v>
      </c>
      <c r="J298" s="107">
        <f>0.005/4</f>
        <v>1.25E-3</v>
      </c>
      <c r="K298" s="98">
        <f>+J298*I298*H298*G298</f>
        <v>0.01</v>
      </c>
      <c r="L298" s="316"/>
      <c r="M298" s="316"/>
      <c r="N298" s="738"/>
      <c r="O298" s="614"/>
      <c r="P298" s="617"/>
    </row>
    <row r="299" spans="1:16" ht="62">
      <c r="A299" s="275"/>
      <c r="B299" s="275" t="s">
        <v>230</v>
      </c>
      <c r="C299" s="265">
        <v>2.1158999999999999</v>
      </c>
      <c r="D299" s="265">
        <v>1.94462</v>
      </c>
      <c r="E299" s="266">
        <v>1.5547</v>
      </c>
      <c r="F299" s="266">
        <v>1.012</v>
      </c>
      <c r="G299" s="241">
        <v>1</v>
      </c>
      <c r="H299" s="242">
        <v>4</v>
      </c>
      <c r="I299" s="241">
        <v>31</v>
      </c>
      <c r="J299" s="243"/>
      <c r="K299" s="239">
        <f>+SUM(K300:K307)</f>
        <v>0.88839999999999997</v>
      </c>
      <c r="L299" s="341"/>
      <c r="M299" s="341"/>
      <c r="N299" s="736" t="s">
        <v>344</v>
      </c>
      <c r="O299" s="612" t="s">
        <v>371</v>
      </c>
      <c r="P299" s="618" t="s">
        <v>231</v>
      </c>
    </row>
    <row r="300" spans="1:16" ht="15.5">
      <c r="A300" s="102"/>
      <c r="B300" s="102" t="s">
        <v>172</v>
      </c>
      <c r="C300" s="116"/>
      <c r="D300" s="85"/>
      <c r="E300" s="85"/>
      <c r="F300" s="85"/>
      <c r="G300" s="86">
        <v>0</v>
      </c>
      <c r="H300" s="87">
        <v>0</v>
      </c>
      <c r="I300" s="86">
        <v>0</v>
      </c>
      <c r="J300" s="88">
        <v>0</v>
      </c>
      <c r="K300" s="89">
        <f>+J300*I300*H300</f>
        <v>0</v>
      </c>
      <c r="L300" s="309"/>
      <c r="M300" s="309"/>
      <c r="N300" s="737"/>
      <c r="O300" s="613"/>
      <c r="P300" s="619"/>
    </row>
    <row r="301" spans="1:16" ht="15.5">
      <c r="A301" s="85"/>
      <c r="B301" s="85" t="s">
        <v>173</v>
      </c>
      <c r="C301" s="116"/>
      <c r="D301" s="85"/>
      <c r="E301" s="85"/>
      <c r="F301" s="85"/>
      <c r="G301" s="86">
        <v>1</v>
      </c>
      <c r="H301" s="87">
        <v>4</v>
      </c>
      <c r="I301" s="86">
        <v>31</v>
      </c>
      <c r="J301" s="88">
        <v>2.0999999999999999E-3</v>
      </c>
      <c r="K301" s="89">
        <f t="shared" ref="K301:K307" si="18">+J301*I301*H301*G301</f>
        <v>0.26040000000000002</v>
      </c>
      <c r="L301" s="309"/>
      <c r="M301" s="309"/>
      <c r="N301" s="737"/>
      <c r="O301" s="613"/>
      <c r="P301" s="619"/>
    </row>
    <row r="302" spans="1:16" ht="15.5">
      <c r="A302" s="85"/>
      <c r="B302" s="85" t="s">
        <v>174</v>
      </c>
      <c r="C302" s="116"/>
      <c r="D302" s="85"/>
      <c r="E302" s="85"/>
      <c r="F302" s="85"/>
      <c r="G302" s="86">
        <v>0</v>
      </c>
      <c r="H302" s="87">
        <v>0</v>
      </c>
      <c r="I302" s="86">
        <v>0</v>
      </c>
      <c r="J302" s="88">
        <v>0</v>
      </c>
      <c r="K302" s="89">
        <f t="shared" si="18"/>
        <v>0</v>
      </c>
      <c r="L302" s="309"/>
      <c r="M302" s="309"/>
      <c r="N302" s="737"/>
      <c r="O302" s="613"/>
      <c r="P302" s="619"/>
    </row>
    <row r="303" spans="1:16" ht="15.5">
      <c r="A303" s="85"/>
      <c r="B303" s="85" t="s">
        <v>175</v>
      </c>
      <c r="C303" s="116"/>
      <c r="D303" s="85"/>
      <c r="E303" s="85"/>
      <c r="F303" s="85"/>
      <c r="G303" s="86">
        <v>1</v>
      </c>
      <c r="H303" s="87">
        <v>4</v>
      </c>
      <c r="I303" s="86">
        <v>29</v>
      </c>
      <c r="J303" s="88">
        <v>3.0000000000000001E-3</v>
      </c>
      <c r="K303" s="89">
        <f t="shared" si="18"/>
        <v>0.34799999999999998</v>
      </c>
      <c r="L303" s="309"/>
      <c r="M303" s="309"/>
      <c r="N303" s="737"/>
      <c r="O303" s="613"/>
      <c r="P303" s="619"/>
    </row>
    <row r="304" spans="1:16" ht="15.5">
      <c r="A304" s="85"/>
      <c r="B304" s="85" t="s">
        <v>184</v>
      </c>
      <c r="C304" s="116"/>
      <c r="D304" s="85"/>
      <c r="E304" s="85"/>
      <c r="F304" s="85"/>
      <c r="G304" s="86">
        <v>1</v>
      </c>
      <c r="H304" s="87">
        <v>4</v>
      </c>
      <c r="I304" s="86">
        <v>1</v>
      </c>
      <c r="J304" s="88">
        <v>0.06</v>
      </c>
      <c r="K304" s="89">
        <f t="shared" si="18"/>
        <v>0.24</v>
      </c>
      <c r="L304" s="309"/>
      <c r="M304" s="309"/>
      <c r="N304" s="737"/>
      <c r="O304" s="613"/>
      <c r="P304" s="619"/>
    </row>
    <row r="305" spans="1:16" ht="15.5">
      <c r="A305" s="85"/>
      <c r="B305" s="85" t="s">
        <v>176</v>
      </c>
      <c r="C305" s="116"/>
      <c r="D305" s="85"/>
      <c r="E305" s="85"/>
      <c r="F305" s="85"/>
      <c r="G305" s="86">
        <v>0</v>
      </c>
      <c r="H305" s="87">
        <v>0</v>
      </c>
      <c r="I305" s="86">
        <v>0</v>
      </c>
      <c r="J305" s="88">
        <v>0</v>
      </c>
      <c r="K305" s="89">
        <f t="shared" si="18"/>
        <v>0</v>
      </c>
      <c r="L305" s="309"/>
      <c r="M305" s="309"/>
      <c r="N305" s="737"/>
      <c r="O305" s="613"/>
      <c r="P305" s="619"/>
    </row>
    <row r="306" spans="1:16" ht="15.5">
      <c r="A306" s="85"/>
      <c r="B306" s="85" t="s">
        <v>177</v>
      </c>
      <c r="C306" s="116"/>
      <c r="D306" s="85"/>
      <c r="E306" s="85"/>
      <c r="F306" s="85"/>
      <c r="G306" s="86">
        <v>0</v>
      </c>
      <c r="H306" s="87">
        <v>0</v>
      </c>
      <c r="I306" s="86">
        <v>0</v>
      </c>
      <c r="J306" s="88">
        <v>0</v>
      </c>
      <c r="K306" s="89">
        <f t="shared" si="18"/>
        <v>0</v>
      </c>
      <c r="L306" s="309"/>
      <c r="M306" s="309"/>
      <c r="N306" s="737"/>
      <c r="O306" s="613"/>
      <c r="P306" s="619"/>
    </row>
    <row r="307" spans="1:16" ht="15.5">
      <c r="A307" s="146"/>
      <c r="B307" s="146" t="s">
        <v>179</v>
      </c>
      <c r="C307" s="118"/>
      <c r="D307" s="104"/>
      <c r="E307" s="104"/>
      <c r="F307" s="104"/>
      <c r="G307" s="105">
        <v>1</v>
      </c>
      <c r="H307" s="106">
        <v>4</v>
      </c>
      <c r="I307" s="105">
        <v>31</v>
      </c>
      <c r="J307" s="144">
        <f>0.01/31</f>
        <v>3.2258064516129E-4</v>
      </c>
      <c r="K307" s="145">
        <f t="shared" si="18"/>
        <v>0.04</v>
      </c>
      <c r="L307" s="334"/>
      <c r="M307" s="334"/>
      <c r="N307" s="738"/>
      <c r="O307" s="614"/>
      <c r="P307" s="620"/>
    </row>
    <row r="308" spans="1:16" ht="46.5">
      <c r="A308" s="276"/>
      <c r="B308" s="276" t="s">
        <v>233</v>
      </c>
      <c r="C308" s="245">
        <v>0</v>
      </c>
      <c r="D308" s="245">
        <v>0</v>
      </c>
      <c r="E308" s="245">
        <v>0</v>
      </c>
      <c r="F308" s="245">
        <v>0</v>
      </c>
      <c r="G308" s="277">
        <v>1</v>
      </c>
      <c r="H308" s="278">
        <v>7</v>
      </c>
      <c r="I308" s="277">
        <v>5</v>
      </c>
      <c r="J308" s="279"/>
      <c r="K308" s="280">
        <f>+SUM(K309:K318)</f>
        <v>0.40210000000000001</v>
      </c>
      <c r="L308" s="307">
        <f>+SUM(L309:L316)</f>
        <v>0</v>
      </c>
      <c r="M308" s="307">
        <f>+K308-L308</f>
        <v>0.40210000000000001</v>
      </c>
      <c r="N308" s="730" t="s">
        <v>332</v>
      </c>
      <c r="O308" s="612" t="s">
        <v>372</v>
      </c>
      <c r="P308" s="627" t="s">
        <v>373</v>
      </c>
    </row>
    <row r="309" spans="1:16" ht="15.5">
      <c r="A309" s="102"/>
      <c r="B309" s="102" t="s">
        <v>172</v>
      </c>
      <c r="C309" s="116"/>
      <c r="D309" s="85"/>
      <c r="E309" s="89"/>
      <c r="F309" s="127"/>
      <c r="G309" s="129">
        <v>1</v>
      </c>
      <c r="H309" s="130">
        <v>5</v>
      </c>
      <c r="I309" s="129">
        <v>5</v>
      </c>
      <c r="J309" s="131">
        <v>3.0999999999999999E-3</v>
      </c>
      <c r="K309" s="132">
        <f>+J309*I309*H309</f>
        <v>7.7499999999999999E-2</v>
      </c>
      <c r="L309" s="325"/>
      <c r="M309" s="325"/>
      <c r="N309" s="731"/>
      <c r="O309" s="613"/>
      <c r="P309" s="628"/>
    </row>
    <row r="310" spans="1:16" ht="15.5">
      <c r="A310" s="85"/>
      <c r="B310" s="85" t="s">
        <v>173</v>
      </c>
      <c r="C310" s="116"/>
      <c r="D310" s="85"/>
      <c r="E310" s="89"/>
      <c r="F310" s="127"/>
      <c r="G310" s="129">
        <v>1</v>
      </c>
      <c r="H310" s="130">
        <v>2</v>
      </c>
      <c r="I310" s="129">
        <v>5</v>
      </c>
      <c r="J310" s="131">
        <v>2.0999999999999999E-3</v>
      </c>
      <c r="K310" s="132">
        <f t="shared" ref="K310:K318" si="19">+J310*I310*H310*G310</f>
        <v>2.1000000000000001E-2</v>
      </c>
      <c r="L310" s="325"/>
      <c r="M310" s="325"/>
      <c r="N310" s="731"/>
      <c r="O310" s="613"/>
      <c r="P310" s="628"/>
    </row>
    <row r="311" spans="1:16" ht="15.5">
      <c r="A311" s="85"/>
      <c r="B311" s="85" t="s">
        <v>174</v>
      </c>
      <c r="C311" s="116"/>
      <c r="D311" s="85"/>
      <c r="E311" s="89"/>
      <c r="F311" s="127"/>
      <c r="G311" s="129">
        <v>1</v>
      </c>
      <c r="H311" s="130">
        <v>1</v>
      </c>
      <c r="I311" s="129">
        <v>4</v>
      </c>
      <c r="J311" s="131">
        <v>6.0000000000000001E-3</v>
      </c>
      <c r="K311" s="132">
        <f t="shared" si="19"/>
        <v>2.4E-2</v>
      </c>
      <c r="L311" s="325"/>
      <c r="M311" s="325"/>
      <c r="N311" s="731"/>
      <c r="O311" s="613"/>
      <c r="P311" s="628"/>
    </row>
    <row r="312" spans="1:16" ht="15.5">
      <c r="A312" s="85"/>
      <c r="B312" s="85"/>
      <c r="C312" s="116"/>
      <c r="D312" s="85"/>
      <c r="E312" s="89"/>
      <c r="F312" s="127"/>
      <c r="G312" s="129">
        <v>1</v>
      </c>
      <c r="H312" s="130">
        <v>4</v>
      </c>
      <c r="I312" s="129">
        <v>4</v>
      </c>
      <c r="J312" s="131">
        <v>5.0000000000000001E-3</v>
      </c>
      <c r="K312" s="132">
        <f t="shared" si="19"/>
        <v>0.08</v>
      </c>
      <c r="L312" s="325"/>
      <c r="M312" s="325"/>
      <c r="N312" s="731"/>
      <c r="O312" s="613"/>
      <c r="P312" s="628"/>
    </row>
    <row r="313" spans="1:16" ht="15.5">
      <c r="A313" s="85"/>
      <c r="B313" s="85" t="s">
        <v>175</v>
      </c>
      <c r="C313" s="116"/>
      <c r="D313" s="85"/>
      <c r="E313" s="89"/>
      <c r="F313" s="127"/>
      <c r="G313" s="129">
        <v>1</v>
      </c>
      <c r="H313" s="130">
        <v>2</v>
      </c>
      <c r="I313" s="129">
        <v>4</v>
      </c>
      <c r="J313" s="131">
        <v>5.0000000000000001E-3</v>
      </c>
      <c r="K313" s="132">
        <f t="shared" si="19"/>
        <v>0.04</v>
      </c>
      <c r="L313" s="325"/>
      <c r="M313" s="325"/>
      <c r="N313" s="731"/>
      <c r="O313" s="613"/>
      <c r="P313" s="628"/>
    </row>
    <row r="314" spans="1:16" ht="15.5">
      <c r="A314" s="151"/>
      <c r="B314" s="151" t="s">
        <v>184</v>
      </c>
      <c r="C314" s="116"/>
      <c r="D314" s="85"/>
      <c r="E314" s="152"/>
      <c r="F314" s="127"/>
      <c r="G314" s="129">
        <v>1</v>
      </c>
      <c r="H314" s="130">
        <v>1</v>
      </c>
      <c r="I314" s="129">
        <v>1</v>
      </c>
      <c r="J314" s="131">
        <v>2.9000000000000001E-2</v>
      </c>
      <c r="K314" s="132">
        <f t="shared" si="19"/>
        <v>2.9000000000000001E-2</v>
      </c>
      <c r="L314" s="325"/>
      <c r="M314" s="325"/>
      <c r="N314" s="731"/>
      <c r="O314" s="613"/>
      <c r="P314" s="628"/>
    </row>
    <row r="315" spans="1:16" ht="15.5">
      <c r="A315" s="111"/>
      <c r="B315" s="111"/>
      <c r="C315" s="116"/>
      <c r="D315" s="85"/>
      <c r="E315" s="85"/>
      <c r="F315" s="127"/>
      <c r="G315" s="129">
        <v>1</v>
      </c>
      <c r="H315" s="130">
        <v>6</v>
      </c>
      <c r="I315" s="129">
        <v>1</v>
      </c>
      <c r="J315" s="131">
        <v>1.4999999999999999E-2</v>
      </c>
      <c r="K315" s="132">
        <f t="shared" si="19"/>
        <v>0.09</v>
      </c>
      <c r="L315" s="325"/>
      <c r="M315" s="325"/>
      <c r="N315" s="731"/>
      <c r="O315" s="613"/>
      <c r="P315" s="628"/>
    </row>
    <row r="316" spans="1:16" ht="15.5">
      <c r="A316" s="85"/>
      <c r="B316" s="85" t="s">
        <v>176</v>
      </c>
      <c r="C316" s="116"/>
      <c r="D316" s="85"/>
      <c r="E316" s="85"/>
      <c r="F316" s="127"/>
      <c r="G316" s="129">
        <v>0</v>
      </c>
      <c r="H316" s="130">
        <v>0</v>
      </c>
      <c r="I316" s="129">
        <v>0</v>
      </c>
      <c r="J316" s="131">
        <v>0</v>
      </c>
      <c r="K316" s="132">
        <f t="shared" si="19"/>
        <v>0</v>
      </c>
      <c r="L316" s="325"/>
      <c r="M316" s="325"/>
      <c r="N316" s="731"/>
      <c r="O316" s="613"/>
      <c r="P316" s="628"/>
    </row>
    <row r="317" spans="1:16" ht="15.5">
      <c r="A317" s="85"/>
      <c r="B317" s="85" t="s">
        <v>177</v>
      </c>
      <c r="C317" s="116"/>
      <c r="D317" s="85"/>
      <c r="E317" s="85"/>
      <c r="F317" s="127"/>
      <c r="G317" s="129">
        <v>0</v>
      </c>
      <c r="H317" s="130">
        <v>0</v>
      </c>
      <c r="I317" s="129">
        <v>0</v>
      </c>
      <c r="J317" s="131">
        <v>0</v>
      </c>
      <c r="K317" s="132">
        <f t="shared" si="19"/>
        <v>0</v>
      </c>
      <c r="L317" s="325"/>
      <c r="M317" s="325"/>
      <c r="N317" s="731"/>
      <c r="O317" s="613"/>
      <c r="P317" s="628"/>
    </row>
    <row r="318" spans="1:16" ht="15.5">
      <c r="A318" s="153"/>
      <c r="B318" s="153" t="s">
        <v>179</v>
      </c>
      <c r="C318" s="124"/>
      <c r="D318" s="94"/>
      <c r="E318" s="94"/>
      <c r="F318" s="154"/>
      <c r="G318" s="155">
        <v>1</v>
      </c>
      <c r="H318" s="156">
        <v>7</v>
      </c>
      <c r="I318" s="155">
        <v>5</v>
      </c>
      <c r="J318" s="157">
        <f>0.0058/5</f>
        <v>1.16E-3</v>
      </c>
      <c r="K318" s="158">
        <f t="shared" si="19"/>
        <v>4.0599999999999997E-2</v>
      </c>
      <c r="L318" s="342"/>
      <c r="M318" s="342"/>
      <c r="N318" s="732"/>
      <c r="O318" s="613"/>
      <c r="P318" s="628"/>
    </row>
    <row r="319" spans="1:16" ht="62">
      <c r="A319" s="281"/>
      <c r="B319" s="281" t="s">
        <v>232</v>
      </c>
      <c r="C319" s="245">
        <v>0</v>
      </c>
      <c r="D319" s="245">
        <v>0</v>
      </c>
      <c r="E319" s="249">
        <v>0.105</v>
      </c>
      <c r="F319" s="282" t="s">
        <v>208</v>
      </c>
      <c r="G319" s="246">
        <v>1</v>
      </c>
      <c r="H319" s="247">
        <v>1</v>
      </c>
      <c r="I319" s="246">
        <v>5</v>
      </c>
      <c r="J319" s="267"/>
      <c r="K319" s="239">
        <f>+SUM(K320:K328)</f>
        <v>0.13250000000000001</v>
      </c>
      <c r="L319" s="307">
        <f>+SUM(L320:L327)</f>
        <v>0</v>
      </c>
      <c r="M319" s="307">
        <f>+K319-L319</f>
        <v>0.13250000000000001</v>
      </c>
      <c r="N319" s="736" t="s">
        <v>250</v>
      </c>
      <c r="O319" s="612" t="s">
        <v>374</v>
      </c>
      <c r="P319" s="618" t="s">
        <v>261</v>
      </c>
    </row>
    <row r="320" spans="1:16" ht="15.5">
      <c r="A320" s="102"/>
      <c r="B320" s="102" t="s">
        <v>172</v>
      </c>
      <c r="C320" s="116"/>
      <c r="D320" s="85"/>
      <c r="E320" s="85"/>
      <c r="F320" s="117"/>
      <c r="G320" s="86">
        <v>1</v>
      </c>
      <c r="H320" s="87">
        <v>1</v>
      </c>
      <c r="I320" s="86">
        <v>5</v>
      </c>
      <c r="J320" s="88">
        <v>3.0999999999999999E-3</v>
      </c>
      <c r="K320" s="89">
        <f>+J320*I320*H320</f>
        <v>1.55E-2</v>
      </c>
      <c r="L320" s="309"/>
      <c r="M320" s="309"/>
      <c r="N320" s="737"/>
      <c r="O320" s="613"/>
      <c r="P320" s="619"/>
    </row>
    <row r="321" spans="1:16" ht="15.5">
      <c r="A321" s="85"/>
      <c r="B321" s="85" t="s">
        <v>173</v>
      </c>
      <c r="C321" s="116"/>
      <c r="D321" s="85"/>
      <c r="E321" s="85"/>
      <c r="F321" s="117"/>
      <c r="G321" s="89">
        <v>0</v>
      </c>
      <c r="H321" s="89">
        <v>0</v>
      </c>
      <c r="I321" s="89">
        <v>0</v>
      </c>
      <c r="J321" s="89">
        <v>0</v>
      </c>
      <c r="K321" s="89">
        <f t="shared" ref="K321:K328" si="20">+J321*I321*H321*G321</f>
        <v>0</v>
      </c>
      <c r="L321" s="309"/>
      <c r="M321" s="309"/>
      <c r="N321" s="737"/>
      <c r="O321" s="613"/>
      <c r="P321" s="619"/>
    </row>
    <row r="322" spans="1:16" ht="15.5">
      <c r="A322" s="85"/>
      <c r="B322" s="85" t="s">
        <v>174</v>
      </c>
      <c r="C322" s="116"/>
      <c r="D322" s="85"/>
      <c r="E322" s="85"/>
      <c r="F322" s="85"/>
      <c r="G322" s="86">
        <v>1</v>
      </c>
      <c r="H322" s="87">
        <v>1</v>
      </c>
      <c r="I322" s="86">
        <v>5</v>
      </c>
      <c r="J322" s="88">
        <v>6.0000000000000001E-3</v>
      </c>
      <c r="K322" s="89">
        <f t="shared" si="20"/>
        <v>0.03</v>
      </c>
      <c r="L322" s="309"/>
      <c r="M322" s="309"/>
      <c r="N322" s="737"/>
      <c r="O322" s="613"/>
      <c r="P322" s="619"/>
    </row>
    <row r="323" spans="1:16" ht="15.5">
      <c r="A323" s="85"/>
      <c r="B323" s="85" t="s">
        <v>175</v>
      </c>
      <c r="C323" s="116"/>
      <c r="D323" s="85"/>
      <c r="E323" s="85"/>
      <c r="F323" s="85"/>
      <c r="G323" s="89">
        <v>0</v>
      </c>
      <c r="H323" s="89">
        <v>0</v>
      </c>
      <c r="I323" s="89">
        <v>0</v>
      </c>
      <c r="J323" s="89">
        <v>0</v>
      </c>
      <c r="K323" s="89">
        <f t="shared" si="20"/>
        <v>0</v>
      </c>
      <c r="L323" s="309"/>
      <c r="M323" s="309"/>
      <c r="N323" s="737"/>
      <c r="O323" s="613"/>
      <c r="P323" s="619"/>
    </row>
    <row r="324" spans="1:16" ht="15.5">
      <c r="A324" s="85"/>
      <c r="B324" s="85" t="s">
        <v>184</v>
      </c>
      <c r="C324" s="116"/>
      <c r="D324" s="85"/>
      <c r="E324" s="85"/>
      <c r="F324" s="85"/>
      <c r="G324" s="86">
        <v>1</v>
      </c>
      <c r="H324" s="87">
        <v>1</v>
      </c>
      <c r="I324" s="86">
        <v>1</v>
      </c>
      <c r="J324" s="88">
        <v>5.1999999999999998E-2</v>
      </c>
      <c r="K324" s="89">
        <f t="shared" si="20"/>
        <v>5.1999999999999998E-2</v>
      </c>
      <c r="L324" s="309"/>
      <c r="M324" s="309"/>
      <c r="N324" s="737"/>
      <c r="O324" s="613"/>
      <c r="P324" s="619"/>
    </row>
    <row r="325" spans="1:16" ht="15.5">
      <c r="A325" s="85"/>
      <c r="B325" s="85" t="s">
        <v>176</v>
      </c>
      <c r="C325" s="116"/>
      <c r="D325" s="85"/>
      <c r="E325" s="85"/>
      <c r="F325" s="85"/>
      <c r="G325" s="89">
        <v>0</v>
      </c>
      <c r="H325" s="89">
        <v>0</v>
      </c>
      <c r="I325" s="89">
        <v>0</v>
      </c>
      <c r="J325" s="89">
        <v>0</v>
      </c>
      <c r="K325" s="89">
        <f t="shared" si="20"/>
        <v>0</v>
      </c>
      <c r="L325" s="309"/>
      <c r="M325" s="309"/>
      <c r="N325" s="737"/>
      <c r="O325" s="613"/>
      <c r="P325" s="619"/>
    </row>
    <row r="326" spans="1:16" ht="15.5">
      <c r="A326" s="85"/>
      <c r="B326" s="85" t="s">
        <v>177</v>
      </c>
      <c r="C326" s="116"/>
      <c r="D326" s="85"/>
      <c r="E326" s="85"/>
      <c r="F326" s="85"/>
      <c r="G326" s="89">
        <v>0</v>
      </c>
      <c r="H326" s="89">
        <v>0</v>
      </c>
      <c r="I326" s="89">
        <v>0</v>
      </c>
      <c r="J326" s="89">
        <v>0</v>
      </c>
      <c r="K326" s="89">
        <f t="shared" si="20"/>
        <v>0</v>
      </c>
      <c r="L326" s="309"/>
      <c r="M326" s="309"/>
      <c r="N326" s="737"/>
      <c r="O326" s="613"/>
      <c r="P326" s="619"/>
    </row>
    <row r="327" spans="1:16" ht="15.5">
      <c r="A327" s="85"/>
      <c r="B327" s="85" t="s">
        <v>178</v>
      </c>
      <c r="C327" s="116"/>
      <c r="D327" s="85"/>
      <c r="E327" s="85"/>
      <c r="F327" s="85"/>
      <c r="G327" s="86">
        <v>1</v>
      </c>
      <c r="H327" s="87">
        <v>1</v>
      </c>
      <c r="I327" s="86">
        <v>1</v>
      </c>
      <c r="J327" s="159">
        <v>3.5000000000000003E-2</v>
      </c>
      <c r="K327" s="160">
        <f t="shared" si="20"/>
        <v>3.5000000000000003E-2</v>
      </c>
      <c r="L327" s="309"/>
      <c r="M327" s="309"/>
      <c r="N327" s="737"/>
      <c r="O327" s="613"/>
      <c r="P327" s="619"/>
    </row>
    <row r="328" spans="1:16" ht="15.5">
      <c r="A328" s="148"/>
      <c r="B328" s="148" t="s">
        <v>179</v>
      </c>
      <c r="C328" s="118"/>
      <c r="D328" s="104"/>
      <c r="E328" s="104"/>
      <c r="F328" s="104"/>
      <c r="G328" s="147">
        <v>0</v>
      </c>
      <c r="H328" s="147">
        <v>0</v>
      </c>
      <c r="I328" s="147">
        <v>0</v>
      </c>
      <c r="J328" s="147">
        <v>0</v>
      </c>
      <c r="K328" s="147">
        <f t="shared" si="20"/>
        <v>0</v>
      </c>
      <c r="L328" s="343"/>
      <c r="M328" s="343"/>
      <c r="N328" s="738"/>
      <c r="O328" s="614"/>
      <c r="P328" s="620"/>
    </row>
    <row r="329" spans="1:16" ht="46.5">
      <c r="A329" s="276"/>
      <c r="B329" s="276" t="s">
        <v>262</v>
      </c>
      <c r="C329" s="245">
        <v>0</v>
      </c>
      <c r="D329" s="245">
        <v>0</v>
      </c>
      <c r="E329" s="245">
        <v>0</v>
      </c>
      <c r="F329" s="245">
        <v>0</v>
      </c>
      <c r="G329" s="277">
        <v>1</v>
      </c>
      <c r="H329" s="278">
        <v>1</v>
      </c>
      <c r="I329" s="277">
        <v>8</v>
      </c>
      <c r="J329" s="279"/>
      <c r="K329" s="280">
        <f>+SUM(K330:K338)</f>
        <v>0.1648</v>
      </c>
      <c r="L329" s="307">
        <f>+SUM(L330:L337)</f>
        <v>0</v>
      </c>
      <c r="M329" s="307">
        <f>+K329-L329</f>
        <v>0.1648</v>
      </c>
      <c r="N329" s="730" t="s">
        <v>250</v>
      </c>
      <c r="O329" s="612" t="s">
        <v>375</v>
      </c>
      <c r="P329" s="627" t="s">
        <v>264</v>
      </c>
    </row>
    <row r="330" spans="1:16" ht="15.5">
      <c r="A330" s="102"/>
      <c r="B330" s="102" t="s">
        <v>172</v>
      </c>
      <c r="C330" s="116"/>
      <c r="D330" s="85"/>
      <c r="E330" s="89"/>
      <c r="F330" s="127"/>
      <c r="G330" s="129">
        <v>1</v>
      </c>
      <c r="H330" s="130">
        <v>1</v>
      </c>
      <c r="I330" s="129">
        <v>8</v>
      </c>
      <c r="J330" s="131">
        <v>3.0999999999999999E-3</v>
      </c>
      <c r="K330" s="132">
        <f>+J330*I330*H330</f>
        <v>2.4799999999999999E-2</v>
      </c>
      <c r="L330" s="325"/>
      <c r="M330" s="325"/>
      <c r="N330" s="731"/>
      <c r="O330" s="613"/>
      <c r="P330" s="628"/>
    </row>
    <row r="331" spans="1:16" ht="15.5">
      <c r="A331" s="85"/>
      <c r="B331" s="85" t="s">
        <v>173</v>
      </c>
      <c r="C331" s="116"/>
      <c r="D331" s="85"/>
      <c r="E331" s="89"/>
      <c r="F331" s="127"/>
      <c r="G331" s="132">
        <v>0</v>
      </c>
      <c r="H331" s="132">
        <v>0</v>
      </c>
      <c r="I331" s="132">
        <v>0</v>
      </c>
      <c r="J331" s="132">
        <v>0</v>
      </c>
      <c r="K331" s="132">
        <v>0</v>
      </c>
      <c r="L331" s="325"/>
      <c r="M331" s="325"/>
      <c r="N331" s="731"/>
      <c r="O331" s="613"/>
      <c r="P331" s="628"/>
    </row>
    <row r="332" spans="1:16" ht="15.5">
      <c r="A332" s="85"/>
      <c r="B332" s="85" t="s">
        <v>174</v>
      </c>
      <c r="C332" s="116"/>
      <c r="D332" s="85"/>
      <c r="E332" s="89"/>
      <c r="F332" s="127"/>
      <c r="G332" s="129">
        <v>1</v>
      </c>
      <c r="H332" s="129">
        <v>1</v>
      </c>
      <c r="I332" s="129">
        <v>8</v>
      </c>
      <c r="J332" s="132">
        <v>6.0000000000000001E-3</v>
      </c>
      <c r="K332" s="132">
        <f>+J332*I332*H332*G332</f>
        <v>4.8000000000000001E-2</v>
      </c>
      <c r="L332" s="325"/>
      <c r="M332" s="325"/>
      <c r="N332" s="731"/>
      <c r="O332" s="613"/>
      <c r="P332" s="628"/>
    </row>
    <row r="333" spans="1:16" ht="15.5">
      <c r="A333" s="85"/>
      <c r="B333" s="85" t="s">
        <v>175</v>
      </c>
      <c r="C333" s="116"/>
      <c r="D333" s="85"/>
      <c r="E333" s="89"/>
      <c r="F333" s="127"/>
      <c r="G333" s="132">
        <v>0</v>
      </c>
      <c r="H333" s="132">
        <v>0</v>
      </c>
      <c r="I333" s="132">
        <v>0</v>
      </c>
      <c r="J333" s="132">
        <v>0</v>
      </c>
      <c r="K333" s="132">
        <v>0</v>
      </c>
      <c r="L333" s="325"/>
      <c r="M333" s="325"/>
      <c r="N333" s="731"/>
      <c r="O333" s="613"/>
      <c r="P333" s="628"/>
    </row>
    <row r="334" spans="1:16" ht="15.5">
      <c r="A334" s="151"/>
      <c r="B334" s="151" t="s">
        <v>184</v>
      </c>
      <c r="C334" s="116"/>
      <c r="D334" s="85"/>
      <c r="E334" s="152"/>
      <c r="F334" s="127"/>
      <c r="G334" s="129">
        <v>1</v>
      </c>
      <c r="H334" s="129">
        <v>1</v>
      </c>
      <c r="I334" s="129">
        <v>1</v>
      </c>
      <c r="J334" s="132">
        <v>4.4999999999999998E-2</v>
      </c>
      <c r="K334" s="132">
        <f>+J334*I334*H334*G334</f>
        <v>4.4999999999999998E-2</v>
      </c>
      <c r="L334" s="325"/>
      <c r="M334" s="325"/>
      <c r="N334" s="731"/>
      <c r="O334" s="613"/>
      <c r="P334" s="628"/>
    </row>
    <row r="335" spans="1:16" ht="15.5">
      <c r="A335" s="85"/>
      <c r="B335" s="85" t="s">
        <v>178</v>
      </c>
      <c r="C335" s="116"/>
      <c r="D335" s="85"/>
      <c r="E335" s="85"/>
      <c r="F335" s="85"/>
      <c r="G335" s="86">
        <v>1</v>
      </c>
      <c r="H335" s="87">
        <v>1</v>
      </c>
      <c r="I335" s="86">
        <v>1</v>
      </c>
      <c r="J335" s="159">
        <v>4.7E-2</v>
      </c>
      <c r="K335" s="160">
        <f>+J335*I335*H335*G335</f>
        <v>4.7E-2</v>
      </c>
      <c r="L335" s="309"/>
      <c r="M335" s="309"/>
      <c r="N335" s="731"/>
      <c r="O335" s="613"/>
      <c r="P335" s="628"/>
    </row>
    <row r="336" spans="1:16" ht="15.5">
      <c r="A336" s="85"/>
      <c r="B336" s="85" t="s">
        <v>176</v>
      </c>
      <c r="C336" s="116"/>
      <c r="D336" s="85"/>
      <c r="E336" s="85"/>
      <c r="F336" s="127"/>
      <c r="G336" s="132">
        <v>0</v>
      </c>
      <c r="H336" s="132">
        <v>0</v>
      </c>
      <c r="I336" s="132">
        <v>0</v>
      </c>
      <c r="J336" s="132">
        <v>0</v>
      </c>
      <c r="K336" s="132">
        <f>+J336*I336*H336*G336</f>
        <v>0</v>
      </c>
      <c r="L336" s="325"/>
      <c r="M336" s="325"/>
      <c r="N336" s="731"/>
      <c r="O336" s="613"/>
      <c r="P336" s="628"/>
    </row>
    <row r="337" spans="1:16" ht="15.5">
      <c r="A337" s="85"/>
      <c r="B337" s="85" t="s">
        <v>177</v>
      </c>
      <c r="C337" s="116"/>
      <c r="D337" s="85"/>
      <c r="E337" s="85"/>
      <c r="F337" s="127"/>
      <c r="G337" s="132">
        <v>0</v>
      </c>
      <c r="H337" s="132">
        <v>0</v>
      </c>
      <c r="I337" s="132">
        <v>0</v>
      </c>
      <c r="J337" s="132">
        <v>0</v>
      </c>
      <c r="K337" s="132">
        <f>+J337*I337*H337*G337</f>
        <v>0</v>
      </c>
      <c r="L337" s="325"/>
      <c r="M337" s="325"/>
      <c r="N337" s="731"/>
      <c r="O337" s="613"/>
      <c r="P337" s="628"/>
    </row>
    <row r="338" spans="1:16" ht="15.5">
      <c r="A338" s="161"/>
      <c r="B338" s="161" t="s">
        <v>179</v>
      </c>
      <c r="C338" s="116"/>
      <c r="D338" s="85"/>
      <c r="E338" s="85"/>
      <c r="F338" s="127"/>
      <c r="G338" s="132">
        <v>0</v>
      </c>
      <c r="H338" s="132">
        <v>0</v>
      </c>
      <c r="I338" s="132">
        <v>0</v>
      </c>
      <c r="J338" s="132">
        <v>0</v>
      </c>
      <c r="K338" s="132">
        <f>+J338*I338*H338*G338</f>
        <v>0</v>
      </c>
      <c r="L338" s="325"/>
      <c r="M338" s="325"/>
      <c r="N338" s="731"/>
      <c r="O338" s="613"/>
      <c r="P338" s="628"/>
    </row>
    <row r="339" spans="1:16" ht="15.5">
      <c r="A339" s="153"/>
      <c r="B339" s="153"/>
      <c r="C339" s="124"/>
      <c r="D339" s="94"/>
      <c r="E339" s="94"/>
      <c r="F339" s="154"/>
      <c r="G339" s="155"/>
      <c r="H339" s="155"/>
      <c r="I339" s="155"/>
      <c r="J339" s="158"/>
      <c r="K339" s="158"/>
      <c r="L339" s="344"/>
      <c r="M339" s="344"/>
      <c r="N339" s="732"/>
      <c r="O339" s="614"/>
      <c r="P339" s="633"/>
    </row>
    <row r="340" spans="1:16" ht="62">
      <c r="A340" s="276"/>
      <c r="B340" s="276" t="s">
        <v>266</v>
      </c>
      <c r="C340" s="283">
        <v>0</v>
      </c>
      <c r="D340" s="283">
        <v>0</v>
      </c>
      <c r="E340" s="251">
        <v>0.13689999999999999</v>
      </c>
      <c r="F340" s="284" t="s">
        <v>208</v>
      </c>
      <c r="G340" s="277">
        <v>1</v>
      </c>
      <c r="H340" s="278">
        <v>4</v>
      </c>
      <c r="I340" s="277">
        <v>4</v>
      </c>
      <c r="J340" s="279"/>
      <c r="K340" s="280">
        <f>+SUM(K341:K350)</f>
        <v>0.2487</v>
      </c>
      <c r="L340" s="307">
        <f>+SUM(L341:L348)</f>
        <v>0</v>
      </c>
      <c r="M340" s="307">
        <f>+K340-L340</f>
        <v>0.2487</v>
      </c>
      <c r="N340" s="730" t="s">
        <v>333</v>
      </c>
      <c r="O340" s="612" t="s">
        <v>376</v>
      </c>
      <c r="P340" s="627" t="s">
        <v>377</v>
      </c>
    </row>
    <row r="341" spans="1:16" ht="15.5">
      <c r="A341" s="102"/>
      <c r="B341" s="102" t="s">
        <v>172</v>
      </c>
      <c r="C341" s="116"/>
      <c r="D341" s="85"/>
      <c r="E341" s="89"/>
      <c r="F341" s="127"/>
      <c r="G341" s="129">
        <v>1</v>
      </c>
      <c r="H341" s="130">
        <v>4</v>
      </c>
      <c r="I341" s="129">
        <v>4</v>
      </c>
      <c r="J341" s="131">
        <v>3.0999999999999999E-3</v>
      </c>
      <c r="K341" s="132">
        <f>+J341*I341*H341</f>
        <v>4.9599999999999998E-2</v>
      </c>
      <c r="L341" s="325"/>
      <c r="M341" s="325"/>
      <c r="N341" s="731"/>
      <c r="O341" s="613"/>
      <c r="P341" s="628"/>
    </row>
    <row r="342" spans="1:16" ht="15.5">
      <c r="A342" s="85"/>
      <c r="B342" s="85" t="s">
        <v>173</v>
      </c>
      <c r="C342" s="116"/>
      <c r="D342" s="85"/>
      <c r="E342" s="89"/>
      <c r="F342" s="127"/>
      <c r="G342" s="132">
        <v>0</v>
      </c>
      <c r="H342" s="132">
        <v>0</v>
      </c>
      <c r="I342" s="132">
        <v>0</v>
      </c>
      <c r="J342" s="132">
        <v>0</v>
      </c>
      <c r="K342" s="132">
        <v>0</v>
      </c>
      <c r="L342" s="325"/>
      <c r="M342" s="325"/>
      <c r="N342" s="731"/>
      <c r="O342" s="613"/>
      <c r="P342" s="628"/>
    </row>
    <row r="343" spans="1:16" ht="15.5">
      <c r="A343" s="151"/>
      <c r="B343" s="151" t="s">
        <v>174</v>
      </c>
      <c r="C343" s="116"/>
      <c r="D343" s="85"/>
      <c r="E343" s="89"/>
      <c r="F343" s="127"/>
      <c r="G343" s="129">
        <v>1</v>
      </c>
      <c r="H343" s="130">
        <v>1</v>
      </c>
      <c r="I343" s="129">
        <v>3</v>
      </c>
      <c r="J343" s="131">
        <v>6.0000000000000001E-3</v>
      </c>
      <c r="K343" s="132">
        <f>+J343*I343*H343*G343</f>
        <v>1.7999999999999999E-2</v>
      </c>
      <c r="L343" s="325"/>
      <c r="M343" s="325"/>
      <c r="N343" s="731"/>
      <c r="O343" s="613"/>
      <c r="P343" s="628"/>
    </row>
    <row r="344" spans="1:16" ht="15.5">
      <c r="A344" s="141"/>
      <c r="B344" s="141"/>
      <c r="C344" s="116"/>
      <c r="D344" s="85"/>
      <c r="E344" s="89"/>
      <c r="F344" s="127"/>
      <c r="G344" s="129">
        <v>1</v>
      </c>
      <c r="H344" s="130">
        <v>3</v>
      </c>
      <c r="I344" s="129">
        <v>3</v>
      </c>
      <c r="J344" s="131">
        <v>4.0000000000000001E-3</v>
      </c>
      <c r="K344" s="132">
        <f>+J344*I344*H344*G344</f>
        <v>3.5999999999999997E-2</v>
      </c>
      <c r="L344" s="325"/>
      <c r="M344" s="325"/>
      <c r="N344" s="731"/>
      <c r="O344" s="613"/>
      <c r="P344" s="628"/>
    </row>
    <row r="345" spans="1:16" ht="15.5">
      <c r="A345" s="85"/>
      <c r="B345" s="85" t="s">
        <v>175</v>
      </c>
      <c r="C345" s="116"/>
      <c r="D345" s="85"/>
      <c r="E345" s="89"/>
      <c r="F345" s="127"/>
      <c r="G345" s="132">
        <v>0</v>
      </c>
      <c r="H345" s="132">
        <v>0</v>
      </c>
      <c r="I345" s="132">
        <v>0</v>
      </c>
      <c r="J345" s="132">
        <v>0</v>
      </c>
      <c r="K345" s="132">
        <v>0</v>
      </c>
      <c r="L345" s="325"/>
      <c r="M345" s="325"/>
      <c r="N345" s="731"/>
      <c r="O345" s="613"/>
      <c r="P345" s="628"/>
    </row>
    <row r="346" spans="1:16" ht="15.5">
      <c r="A346" s="151"/>
      <c r="B346" s="151" t="s">
        <v>184</v>
      </c>
      <c r="C346" s="116"/>
      <c r="D346" s="85"/>
      <c r="E346" s="152"/>
      <c r="F346" s="127"/>
      <c r="G346" s="129">
        <v>1</v>
      </c>
      <c r="H346" s="130">
        <v>1</v>
      </c>
      <c r="I346" s="129">
        <v>1</v>
      </c>
      <c r="J346" s="131">
        <v>4.9500000000000002E-2</v>
      </c>
      <c r="K346" s="132">
        <f>+J346*I346*H346*G346</f>
        <v>4.9500000000000002E-2</v>
      </c>
      <c r="L346" s="325"/>
      <c r="M346" s="325"/>
      <c r="N346" s="731"/>
      <c r="O346" s="613"/>
      <c r="P346" s="628"/>
    </row>
    <row r="347" spans="1:16" ht="15.5">
      <c r="A347" s="111"/>
      <c r="B347" s="111"/>
      <c r="C347" s="116"/>
      <c r="D347" s="85"/>
      <c r="E347" s="85"/>
      <c r="F347" s="127"/>
      <c r="G347" s="129">
        <v>1</v>
      </c>
      <c r="H347" s="130">
        <v>3</v>
      </c>
      <c r="I347" s="129">
        <v>1</v>
      </c>
      <c r="J347" s="131">
        <v>2.52E-2</v>
      </c>
      <c r="K347" s="132">
        <f>+J347*I347*H347*G347</f>
        <v>7.5600000000000001E-2</v>
      </c>
      <c r="L347" s="325"/>
      <c r="M347" s="325"/>
      <c r="N347" s="731"/>
      <c r="O347" s="613"/>
      <c r="P347" s="628"/>
    </row>
    <row r="348" spans="1:16" ht="15.5">
      <c r="A348" s="85"/>
      <c r="B348" s="85" t="s">
        <v>176</v>
      </c>
      <c r="C348" s="116"/>
      <c r="D348" s="85"/>
      <c r="E348" s="85"/>
      <c r="F348" s="127"/>
      <c r="G348" s="129">
        <v>0</v>
      </c>
      <c r="H348" s="130">
        <v>0</v>
      </c>
      <c r="I348" s="129">
        <v>0</v>
      </c>
      <c r="J348" s="131">
        <v>0</v>
      </c>
      <c r="K348" s="132">
        <f>+J348*I348*H348*G348</f>
        <v>0</v>
      </c>
      <c r="L348" s="325"/>
      <c r="M348" s="325"/>
      <c r="N348" s="731"/>
      <c r="O348" s="613"/>
      <c r="P348" s="628"/>
    </row>
    <row r="349" spans="1:16" ht="15.5">
      <c r="A349" s="85"/>
      <c r="B349" s="85" t="s">
        <v>177</v>
      </c>
      <c r="C349" s="116"/>
      <c r="D349" s="85"/>
      <c r="E349" s="85"/>
      <c r="F349" s="127"/>
      <c r="G349" s="129">
        <v>0</v>
      </c>
      <c r="H349" s="130">
        <v>0</v>
      </c>
      <c r="I349" s="129">
        <v>0</v>
      </c>
      <c r="J349" s="131">
        <v>0</v>
      </c>
      <c r="K349" s="132">
        <f>+J349*I349*H349*G349</f>
        <v>0</v>
      </c>
      <c r="L349" s="325"/>
      <c r="M349" s="325"/>
      <c r="N349" s="731"/>
      <c r="O349" s="613"/>
      <c r="P349" s="628"/>
    </row>
    <row r="350" spans="1:16" ht="15.5">
      <c r="A350" s="161"/>
      <c r="B350" s="161" t="s">
        <v>179</v>
      </c>
      <c r="C350" s="124"/>
      <c r="D350" s="94"/>
      <c r="E350" s="85"/>
      <c r="F350" s="127"/>
      <c r="G350" s="163">
        <v>1</v>
      </c>
      <c r="H350" s="164">
        <v>4</v>
      </c>
      <c r="I350" s="163">
        <v>4</v>
      </c>
      <c r="J350" s="165">
        <f>0.005/4</f>
        <v>1.25E-3</v>
      </c>
      <c r="K350" s="166">
        <f>+J350*I350*H350*G350</f>
        <v>0.02</v>
      </c>
      <c r="L350" s="342"/>
      <c r="M350" s="342"/>
      <c r="N350" s="732"/>
      <c r="O350" s="613"/>
      <c r="P350" s="628"/>
    </row>
    <row r="351" spans="1:16" ht="62">
      <c r="A351" s="276"/>
      <c r="B351" s="276" t="s">
        <v>268</v>
      </c>
      <c r="C351" s="285">
        <v>0</v>
      </c>
      <c r="D351" s="285">
        <v>0</v>
      </c>
      <c r="E351" s="260">
        <v>0.13689999999999999</v>
      </c>
      <c r="F351" s="284" t="s">
        <v>208</v>
      </c>
      <c r="G351" s="277">
        <v>1</v>
      </c>
      <c r="H351" s="278">
        <v>5</v>
      </c>
      <c r="I351" s="277">
        <v>4</v>
      </c>
      <c r="J351" s="279"/>
      <c r="K351" s="280">
        <f>+SUM(K352:K362)</f>
        <v>0.2752</v>
      </c>
      <c r="L351" s="307">
        <f>+SUM(L352:L359)</f>
        <v>0</v>
      </c>
      <c r="M351" s="307">
        <f>+K351-L351</f>
        <v>0.2752</v>
      </c>
      <c r="N351" s="730" t="s">
        <v>334</v>
      </c>
      <c r="O351" s="612" t="s">
        <v>376</v>
      </c>
      <c r="P351" s="627" t="s">
        <v>267</v>
      </c>
    </row>
    <row r="352" spans="1:16" ht="15.5">
      <c r="A352" s="102"/>
      <c r="B352" s="102" t="s">
        <v>172</v>
      </c>
      <c r="C352" s="116"/>
      <c r="D352" s="85"/>
      <c r="E352" s="89"/>
      <c r="F352" s="127"/>
      <c r="G352" s="129">
        <v>1</v>
      </c>
      <c r="H352" s="130">
        <v>4</v>
      </c>
      <c r="I352" s="129">
        <v>4</v>
      </c>
      <c r="J352" s="131">
        <v>3.0999999999999999E-3</v>
      </c>
      <c r="K352" s="132">
        <f>+J352*I352*H352</f>
        <v>4.9599999999999998E-2</v>
      </c>
      <c r="L352" s="325"/>
      <c r="M352" s="325"/>
      <c r="N352" s="731"/>
      <c r="O352" s="613"/>
      <c r="P352" s="628"/>
    </row>
    <row r="353" spans="1:16" ht="15.5">
      <c r="A353" s="85"/>
      <c r="B353" s="85" t="s">
        <v>173</v>
      </c>
      <c r="C353" s="116"/>
      <c r="D353" s="85"/>
      <c r="E353" s="89"/>
      <c r="F353" s="127"/>
      <c r="G353" s="129">
        <v>1</v>
      </c>
      <c r="H353" s="130">
        <v>1</v>
      </c>
      <c r="I353" s="129">
        <v>4</v>
      </c>
      <c r="J353" s="131">
        <v>2.0999999999999999E-3</v>
      </c>
      <c r="K353" s="132">
        <f>+J353*I353*H353</f>
        <v>8.3999999999999995E-3</v>
      </c>
      <c r="L353" s="325"/>
      <c r="M353" s="325"/>
      <c r="N353" s="731"/>
      <c r="O353" s="613"/>
      <c r="P353" s="628"/>
    </row>
    <row r="354" spans="1:16" ht="15.5">
      <c r="A354" s="151"/>
      <c r="B354" s="151" t="s">
        <v>174</v>
      </c>
      <c r="C354" s="116"/>
      <c r="D354" s="85"/>
      <c r="E354" s="89"/>
      <c r="F354" s="127"/>
      <c r="G354" s="129">
        <v>1</v>
      </c>
      <c r="H354" s="130">
        <v>1</v>
      </c>
      <c r="I354" s="129">
        <v>3</v>
      </c>
      <c r="J354" s="131">
        <v>6.0000000000000001E-3</v>
      </c>
      <c r="K354" s="132">
        <f t="shared" ref="K354:K362" si="21">+J354*I354*H354*G354</f>
        <v>1.7999999999999999E-2</v>
      </c>
      <c r="L354" s="325"/>
      <c r="M354" s="325"/>
      <c r="N354" s="731"/>
      <c r="O354" s="613"/>
      <c r="P354" s="628"/>
    </row>
    <row r="355" spans="1:16" ht="15.5">
      <c r="A355" s="141"/>
      <c r="B355" s="141"/>
      <c r="C355" s="116"/>
      <c r="D355" s="85"/>
      <c r="E355" s="89"/>
      <c r="F355" s="127"/>
      <c r="G355" s="129">
        <v>1</v>
      </c>
      <c r="H355" s="130">
        <v>3</v>
      </c>
      <c r="I355" s="129">
        <v>3</v>
      </c>
      <c r="J355" s="131">
        <v>4.0000000000000001E-3</v>
      </c>
      <c r="K355" s="132">
        <f t="shared" si="21"/>
        <v>3.5999999999999997E-2</v>
      </c>
      <c r="L355" s="325"/>
      <c r="M355" s="325"/>
      <c r="N355" s="731"/>
      <c r="O355" s="613"/>
      <c r="P355" s="628"/>
    </row>
    <row r="356" spans="1:16" ht="15.5">
      <c r="A356" s="85"/>
      <c r="B356" s="85" t="s">
        <v>175</v>
      </c>
      <c r="C356" s="116"/>
      <c r="D356" s="85"/>
      <c r="E356" s="89"/>
      <c r="F356" s="127"/>
      <c r="G356" s="129">
        <v>1</v>
      </c>
      <c r="H356" s="130">
        <v>1</v>
      </c>
      <c r="I356" s="129">
        <v>3</v>
      </c>
      <c r="J356" s="131">
        <v>4.0000000000000001E-3</v>
      </c>
      <c r="K356" s="132">
        <f t="shared" si="21"/>
        <v>1.2E-2</v>
      </c>
      <c r="L356" s="325"/>
      <c r="M356" s="325"/>
      <c r="N356" s="731"/>
      <c r="O356" s="613"/>
      <c r="P356" s="628"/>
    </row>
    <row r="357" spans="1:16" ht="15.5">
      <c r="A357" s="151"/>
      <c r="B357" s="151" t="s">
        <v>184</v>
      </c>
      <c r="C357" s="116"/>
      <c r="D357" s="85"/>
      <c r="E357" s="152"/>
      <c r="F357" s="127"/>
      <c r="G357" s="129">
        <v>1</v>
      </c>
      <c r="H357" s="130">
        <v>1</v>
      </c>
      <c r="I357" s="129">
        <v>1</v>
      </c>
      <c r="J357" s="131">
        <v>2.4199999999999999E-2</v>
      </c>
      <c r="K357" s="132">
        <f t="shared" si="21"/>
        <v>2.4199999999999999E-2</v>
      </c>
      <c r="L357" s="325"/>
      <c r="M357" s="325"/>
      <c r="N357" s="731"/>
      <c r="O357" s="613"/>
      <c r="P357" s="628"/>
    </row>
    <row r="358" spans="1:16" ht="15.5">
      <c r="A358" s="111"/>
      <c r="B358" s="111"/>
      <c r="C358" s="116"/>
      <c r="D358" s="85"/>
      <c r="E358" s="85"/>
      <c r="F358" s="127"/>
      <c r="G358" s="129">
        <v>1</v>
      </c>
      <c r="H358" s="130">
        <v>4</v>
      </c>
      <c r="I358" s="129">
        <v>1</v>
      </c>
      <c r="J358" s="131">
        <v>1.4200000000000001E-2</v>
      </c>
      <c r="K358" s="132">
        <f t="shared" si="21"/>
        <v>5.6800000000000003E-2</v>
      </c>
      <c r="L358" s="325"/>
      <c r="M358" s="325"/>
      <c r="N358" s="731"/>
      <c r="O358" s="613"/>
      <c r="P358" s="628"/>
    </row>
    <row r="359" spans="1:16" ht="15.5">
      <c r="A359" s="85"/>
      <c r="B359" s="85" t="s">
        <v>176</v>
      </c>
      <c r="C359" s="116"/>
      <c r="D359" s="85"/>
      <c r="E359" s="85"/>
      <c r="F359" s="127"/>
      <c r="G359" s="132">
        <v>0</v>
      </c>
      <c r="H359" s="132">
        <v>0</v>
      </c>
      <c r="I359" s="132">
        <v>0</v>
      </c>
      <c r="J359" s="131">
        <v>0</v>
      </c>
      <c r="K359" s="132">
        <f t="shared" si="21"/>
        <v>0</v>
      </c>
      <c r="L359" s="325"/>
      <c r="M359" s="325"/>
      <c r="N359" s="731"/>
      <c r="O359" s="613"/>
      <c r="P359" s="628"/>
    </row>
    <row r="360" spans="1:16" ht="15.5">
      <c r="A360" s="85"/>
      <c r="B360" s="85" t="s">
        <v>177</v>
      </c>
      <c r="C360" s="116"/>
      <c r="D360" s="85"/>
      <c r="E360" s="85"/>
      <c r="F360" s="127"/>
      <c r="G360" s="132">
        <v>0</v>
      </c>
      <c r="H360" s="132">
        <v>0</v>
      </c>
      <c r="I360" s="132">
        <v>0</v>
      </c>
      <c r="J360" s="131">
        <v>0</v>
      </c>
      <c r="K360" s="132">
        <f t="shared" si="21"/>
        <v>0</v>
      </c>
      <c r="L360" s="325"/>
      <c r="M360" s="325"/>
      <c r="N360" s="731"/>
      <c r="O360" s="613"/>
      <c r="P360" s="628"/>
    </row>
    <row r="361" spans="1:16" ht="15.5">
      <c r="A361" s="167"/>
      <c r="B361" s="167" t="s">
        <v>179</v>
      </c>
      <c r="C361" s="116"/>
      <c r="D361" s="85"/>
      <c r="E361" s="85"/>
      <c r="F361" s="128"/>
      <c r="G361" s="129">
        <v>1</v>
      </c>
      <c r="H361" s="130">
        <v>1</v>
      </c>
      <c r="I361" s="129">
        <v>4</v>
      </c>
      <c r="J361" s="168">
        <f>0.019/4</f>
        <v>4.7499999999999999E-3</v>
      </c>
      <c r="K361" s="162">
        <f t="shared" si="21"/>
        <v>1.9E-2</v>
      </c>
      <c r="L361" s="345"/>
      <c r="M361" s="345"/>
      <c r="N361" s="731"/>
      <c r="O361" s="613"/>
      <c r="P361" s="628"/>
    </row>
    <row r="362" spans="1:16" ht="15.5">
      <c r="A362" s="146"/>
      <c r="B362" s="146"/>
      <c r="C362" s="124"/>
      <c r="D362" s="94"/>
      <c r="E362" s="94"/>
      <c r="F362" s="154"/>
      <c r="G362" s="163">
        <v>1</v>
      </c>
      <c r="H362" s="164">
        <v>4</v>
      </c>
      <c r="I362" s="163">
        <v>4</v>
      </c>
      <c r="J362" s="169">
        <f>0.0128/4</f>
        <v>3.2000000000000002E-3</v>
      </c>
      <c r="K362" s="170">
        <f t="shared" si="21"/>
        <v>5.1200000000000002E-2</v>
      </c>
      <c r="L362" s="346"/>
      <c r="M362" s="346"/>
      <c r="N362" s="732"/>
      <c r="O362" s="613"/>
      <c r="P362" s="628"/>
    </row>
    <row r="363" spans="1:16" ht="62">
      <c r="A363" s="276"/>
      <c r="B363" s="276" t="s">
        <v>269</v>
      </c>
      <c r="C363" s="253">
        <v>0</v>
      </c>
      <c r="D363" s="253">
        <v>0</v>
      </c>
      <c r="E363" s="253">
        <v>0</v>
      </c>
      <c r="F363" s="253">
        <v>0</v>
      </c>
      <c r="G363" s="277">
        <v>1</v>
      </c>
      <c r="H363" s="278">
        <v>5</v>
      </c>
      <c r="I363" s="277">
        <v>9</v>
      </c>
      <c r="J363" s="279"/>
      <c r="K363" s="286">
        <f>+SUM(K364:K374)</f>
        <v>0.7359</v>
      </c>
      <c r="L363" s="307">
        <f>+SUM(L364:L371)</f>
        <v>0</v>
      </c>
      <c r="M363" s="307">
        <f>+K363-L363</f>
        <v>0.7359</v>
      </c>
      <c r="N363" s="730" t="s">
        <v>149</v>
      </c>
      <c r="O363" s="612" t="s">
        <v>378</v>
      </c>
      <c r="P363" s="625" t="s">
        <v>271</v>
      </c>
    </row>
    <row r="364" spans="1:16" ht="15.5">
      <c r="A364" s="102"/>
      <c r="B364" s="102" t="s">
        <v>172</v>
      </c>
      <c r="C364" s="116"/>
      <c r="D364" s="85"/>
      <c r="E364" s="89"/>
      <c r="F364" s="127"/>
      <c r="G364" s="129">
        <v>1</v>
      </c>
      <c r="H364" s="130">
        <v>4</v>
      </c>
      <c r="I364" s="129">
        <v>9</v>
      </c>
      <c r="J364" s="131">
        <v>3.0999999999999999E-3</v>
      </c>
      <c r="K364" s="132">
        <f>+J364*I364*H364</f>
        <v>0.1116</v>
      </c>
      <c r="L364" s="325"/>
      <c r="M364" s="325"/>
      <c r="N364" s="731"/>
      <c r="O364" s="613"/>
      <c r="P364" s="626"/>
    </row>
    <row r="365" spans="1:16" ht="15.5">
      <c r="A365" s="85"/>
      <c r="B365" s="85" t="s">
        <v>173</v>
      </c>
      <c r="C365" s="116"/>
      <c r="D365" s="85"/>
      <c r="E365" s="89"/>
      <c r="F365" s="127"/>
      <c r="G365" s="129">
        <v>1</v>
      </c>
      <c r="H365" s="130">
        <v>1</v>
      </c>
      <c r="I365" s="129">
        <v>9</v>
      </c>
      <c r="J365" s="131">
        <v>2.0999999999999999E-3</v>
      </c>
      <c r="K365" s="132">
        <f>+J365*I365*H365</f>
        <v>1.89E-2</v>
      </c>
      <c r="L365" s="325"/>
      <c r="M365" s="325"/>
      <c r="N365" s="731"/>
      <c r="O365" s="613"/>
      <c r="P365" s="626"/>
    </row>
    <row r="366" spans="1:16" ht="15.5">
      <c r="A366" s="151"/>
      <c r="B366" s="151" t="s">
        <v>174</v>
      </c>
      <c r="C366" s="116"/>
      <c r="D366" s="85"/>
      <c r="E366" s="89"/>
      <c r="F366" s="127"/>
      <c r="G366" s="129">
        <v>1</v>
      </c>
      <c r="H366" s="130">
        <v>1</v>
      </c>
      <c r="I366" s="129">
        <v>8</v>
      </c>
      <c r="J366" s="131">
        <v>8.0000000000000002E-3</v>
      </c>
      <c r="K366" s="132">
        <f t="shared" ref="K366:K373" si="22">+J366*I366*H366*G366</f>
        <v>6.4000000000000001E-2</v>
      </c>
      <c r="L366" s="325"/>
      <c r="M366" s="325"/>
      <c r="N366" s="731"/>
      <c r="O366" s="613"/>
      <c r="P366" s="626"/>
    </row>
    <row r="367" spans="1:16" ht="15.5">
      <c r="A367" s="141"/>
      <c r="B367" s="141"/>
      <c r="C367" s="116"/>
      <c r="D367" s="85"/>
      <c r="E367" s="89"/>
      <c r="F367" s="127"/>
      <c r="G367" s="129">
        <v>1</v>
      </c>
      <c r="H367" s="130">
        <v>3</v>
      </c>
      <c r="I367" s="129">
        <v>8</v>
      </c>
      <c r="J367" s="131">
        <v>4.0000000000000001E-3</v>
      </c>
      <c r="K367" s="132">
        <f t="shared" si="22"/>
        <v>9.6000000000000002E-2</v>
      </c>
      <c r="L367" s="325"/>
      <c r="M367" s="325"/>
      <c r="N367" s="731"/>
      <c r="O367" s="613"/>
      <c r="P367" s="626"/>
    </row>
    <row r="368" spans="1:16" ht="15.5">
      <c r="A368" s="85"/>
      <c r="B368" s="85" t="s">
        <v>175</v>
      </c>
      <c r="C368" s="116"/>
      <c r="D368" s="85"/>
      <c r="E368" s="89"/>
      <c r="F368" s="127"/>
      <c r="G368" s="129">
        <v>1</v>
      </c>
      <c r="H368" s="130">
        <v>1</v>
      </c>
      <c r="I368" s="129">
        <v>8</v>
      </c>
      <c r="J368" s="131">
        <v>4.0000000000000001E-3</v>
      </c>
      <c r="K368" s="132">
        <f t="shared" si="22"/>
        <v>3.2000000000000001E-2</v>
      </c>
      <c r="L368" s="325"/>
      <c r="M368" s="325"/>
      <c r="N368" s="731"/>
      <c r="O368" s="613"/>
      <c r="P368" s="626"/>
    </row>
    <row r="369" spans="1:16" ht="15.5">
      <c r="A369" s="151"/>
      <c r="B369" s="151" t="s">
        <v>184</v>
      </c>
      <c r="C369" s="116"/>
      <c r="D369" s="85"/>
      <c r="E369" s="152"/>
      <c r="F369" s="127"/>
      <c r="G369" s="129">
        <v>1</v>
      </c>
      <c r="H369" s="130">
        <v>1</v>
      </c>
      <c r="I369" s="129">
        <v>1</v>
      </c>
      <c r="J369" s="131">
        <v>0.1244</v>
      </c>
      <c r="K369" s="132">
        <f t="shared" si="22"/>
        <v>0.1244</v>
      </c>
      <c r="L369" s="325"/>
      <c r="M369" s="325"/>
      <c r="N369" s="731"/>
      <c r="O369" s="613"/>
      <c r="P369" s="626"/>
    </row>
    <row r="370" spans="1:16" ht="15.5">
      <c r="A370" s="111"/>
      <c r="B370" s="111"/>
      <c r="C370" s="116"/>
      <c r="D370" s="85"/>
      <c r="E370" s="85"/>
      <c r="F370" s="127"/>
      <c r="G370" s="129">
        <v>1</v>
      </c>
      <c r="H370" s="130">
        <v>4</v>
      </c>
      <c r="I370" s="129">
        <v>1</v>
      </c>
      <c r="J370" s="131">
        <v>6.0999999999999999E-2</v>
      </c>
      <c r="K370" s="132">
        <f t="shared" si="22"/>
        <v>0.24399999999999999</v>
      </c>
      <c r="L370" s="325"/>
      <c r="M370" s="325"/>
      <c r="N370" s="731"/>
      <c r="O370" s="613"/>
      <c r="P370" s="626"/>
    </row>
    <row r="371" spans="1:16" ht="15.5">
      <c r="A371" s="85"/>
      <c r="B371" s="85" t="s">
        <v>176</v>
      </c>
      <c r="C371" s="116"/>
      <c r="D371" s="85"/>
      <c r="E371" s="85"/>
      <c r="F371" s="127"/>
      <c r="G371" s="132">
        <v>0</v>
      </c>
      <c r="H371" s="132">
        <v>0</v>
      </c>
      <c r="I371" s="132">
        <v>0</v>
      </c>
      <c r="J371" s="131">
        <v>0</v>
      </c>
      <c r="K371" s="132">
        <f t="shared" si="22"/>
        <v>0</v>
      </c>
      <c r="L371" s="325"/>
      <c r="M371" s="325"/>
      <c r="N371" s="731"/>
      <c r="O371" s="613"/>
      <c r="P371" s="626"/>
    </row>
    <row r="372" spans="1:16" ht="15.5">
      <c r="A372" s="85"/>
      <c r="B372" s="85" t="s">
        <v>177</v>
      </c>
      <c r="C372" s="116"/>
      <c r="D372" s="85"/>
      <c r="E372" s="85"/>
      <c r="F372" s="127"/>
      <c r="G372" s="132">
        <v>0</v>
      </c>
      <c r="H372" s="132">
        <v>0</v>
      </c>
      <c r="I372" s="132">
        <v>0</v>
      </c>
      <c r="J372" s="131">
        <v>0</v>
      </c>
      <c r="K372" s="132">
        <f t="shared" si="22"/>
        <v>0</v>
      </c>
      <c r="L372" s="325"/>
      <c r="M372" s="325"/>
      <c r="N372" s="731"/>
      <c r="O372" s="613"/>
      <c r="P372" s="626"/>
    </row>
    <row r="373" spans="1:16" ht="15.5">
      <c r="A373" s="167"/>
      <c r="B373" s="167" t="s">
        <v>179</v>
      </c>
      <c r="C373" s="171"/>
      <c r="D373" s="151"/>
      <c r="E373" s="151"/>
      <c r="F373" s="172"/>
      <c r="G373" s="173">
        <v>1</v>
      </c>
      <c r="H373" s="174">
        <v>5</v>
      </c>
      <c r="I373" s="173">
        <v>9</v>
      </c>
      <c r="J373" s="175">
        <v>1E-3</v>
      </c>
      <c r="K373" s="176">
        <f t="shared" si="22"/>
        <v>4.4999999999999998E-2</v>
      </c>
      <c r="L373" s="345"/>
      <c r="M373" s="345"/>
      <c r="N373" s="731"/>
      <c r="O373" s="613"/>
      <c r="P373" s="626"/>
    </row>
    <row r="374" spans="1:16" ht="15.5">
      <c r="A374" s="146"/>
      <c r="B374" s="146"/>
      <c r="C374" s="118"/>
      <c r="D374" s="104"/>
      <c r="E374" s="104"/>
      <c r="F374" s="177"/>
      <c r="G374" s="178"/>
      <c r="H374" s="179"/>
      <c r="I374" s="178"/>
      <c r="J374" s="180"/>
      <c r="K374" s="181"/>
      <c r="L374" s="346"/>
      <c r="M374" s="346"/>
      <c r="N374" s="731"/>
      <c r="O374" s="613"/>
      <c r="P374" s="626"/>
    </row>
    <row r="375" spans="1:16" ht="31">
      <c r="A375" s="281"/>
      <c r="B375" s="281" t="s">
        <v>273</v>
      </c>
      <c r="C375" s="245">
        <v>0</v>
      </c>
      <c r="D375" s="245">
        <v>0</v>
      </c>
      <c r="E375" s="245">
        <v>0</v>
      </c>
      <c r="F375" s="245">
        <v>0</v>
      </c>
      <c r="G375" s="277">
        <v>1</v>
      </c>
      <c r="H375" s="278">
        <v>1</v>
      </c>
      <c r="I375" s="277">
        <v>20</v>
      </c>
      <c r="J375" s="279"/>
      <c r="K375" s="280">
        <f>+SUM(K376:K383)</f>
        <v>0.18729999999999999</v>
      </c>
      <c r="L375" s="307">
        <f>+SUM(L376:L383)</f>
        <v>0</v>
      </c>
      <c r="M375" s="307">
        <f>+K375-L375</f>
        <v>0.18729999999999999</v>
      </c>
      <c r="N375" s="730" t="s">
        <v>274</v>
      </c>
      <c r="O375" s="612" t="s">
        <v>379</v>
      </c>
      <c r="P375" s="625" t="s">
        <v>275</v>
      </c>
    </row>
    <row r="376" spans="1:16" ht="15.5">
      <c r="A376" s="102"/>
      <c r="B376" s="102" t="s">
        <v>172</v>
      </c>
      <c r="C376" s="116"/>
      <c r="D376" s="85"/>
      <c r="E376" s="89"/>
      <c r="F376" s="127"/>
      <c r="G376" s="132">
        <v>0</v>
      </c>
      <c r="H376" s="132">
        <v>0</v>
      </c>
      <c r="I376" s="132">
        <v>0</v>
      </c>
      <c r="J376" s="131">
        <v>0</v>
      </c>
      <c r="K376" s="132">
        <f>+J376*I376*H376*G376</f>
        <v>0</v>
      </c>
      <c r="L376" s="325"/>
      <c r="M376" s="325"/>
      <c r="N376" s="731"/>
      <c r="O376" s="613"/>
      <c r="P376" s="626"/>
    </row>
    <row r="377" spans="1:16" ht="15.5">
      <c r="A377" s="85"/>
      <c r="B377" s="85" t="s">
        <v>173</v>
      </c>
      <c r="C377" s="116"/>
      <c r="D377" s="85"/>
      <c r="E377" s="89"/>
      <c r="F377" s="127"/>
      <c r="G377" s="129">
        <v>1</v>
      </c>
      <c r="H377" s="130">
        <v>1</v>
      </c>
      <c r="I377" s="129">
        <v>20</v>
      </c>
      <c r="J377" s="131">
        <v>2.0999999999999999E-3</v>
      </c>
      <c r="K377" s="132">
        <f>+J377*I377*H377</f>
        <v>4.2000000000000003E-2</v>
      </c>
      <c r="L377" s="325"/>
      <c r="M377" s="325"/>
      <c r="N377" s="731"/>
      <c r="O377" s="613"/>
      <c r="P377" s="626"/>
    </row>
    <row r="378" spans="1:16" ht="15.5">
      <c r="A378" s="151"/>
      <c r="B378" s="151" t="s">
        <v>174</v>
      </c>
      <c r="C378" s="116"/>
      <c r="D378" s="85"/>
      <c r="E378" s="89"/>
      <c r="F378" s="127"/>
      <c r="G378" s="132">
        <v>0</v>
      </c>
      <c r="H378" s="132">
        <v>0</v>
      </c>
      <c r="I378" s="132">
        <v>0</v>
      </c>
      <c r="J378" s="131">
        <v>0</v>
      </c>
      <c r="K378" s="132">
        <f t="shared" ref="K378:K383" si="23">+J378*I378*H378*G378</f>
        <v>0</v>
      </c>
      <c r="L378" s="325"/>
      <c r="M378" s="325"/>
      <c r="N378" s="731"/>
      <c r="O378" s="613"/>
      <c r="P378" s="626"/>
    </row>
    <row r="379" spans="1:16" ht="15.5">
      <c r="A379" s="85"/>
      <c r="B379" s="85" t="s">
        <v>175</v>
      </c>
      <c r="C379" s="116"/>
      <c r="D379" s="85"/>
      <c r="E379" s="89"/>
      <c r="F379" s="127"/>
      <c r="G379" s="129">
        <v>1</v>
      </c>
      <c r="H379" s="130">
        <v>1</v>
      </c>
      <c r="I379" s="129">
        <v>20</v>
      </c>
      <c r="J379" s="131">
        <v>3.5000000000000001E-3</v>
      </c>
      <c r="K379" s="132">
        <f t="shared" si="23"/>
        <v>7.0000000000000007E-2</v>
      </c>
      <c r="L379" s="325"/>
      <c r="M379" s="325"/>
      <c r="N379" s="731"/>
      <c r="O379" s="613"/>
      <c r="P379" s="626"/>
    </row>
    <row r="380" spans="1:16" ht="15.5">
      <c r="A380" s="151"/>
      <c r="B380" s="151" t="s">
        <v>184</v>
      </c>
      <c r="C380" s="116"/>
      <c r="D380" s="85"/>
      <c r="E380" s="152"/>
      <c r="F380" s="127"/>
      <c r="G380" s="129">
        <v>1</v>
      </c>
      <c r="H380" s="130">
        <v>1</v>
      </c>
      <c r="I380" s="129">
        <v>1</v>
      </c>
      <c r="J380" s="131">
        <v>0.06</v>
      </c>
      <c r="K380" s="132">
        <f t="shared" si="23"/>
        <v>0.06</v>
      </c>
      <c r="L380" s="325"/>
      <c r="M380" s="325"/>
      <c r="N380" s="731"/>
      <c r="O380" s="613"/>
      <c r="P380" s="626"/>
    </row>
    <row r="381" spans="1:16" ht="15.5">
      <c r="A381" s="85"/>
      <c r="B381" s="85" t="s">
        <v>176</v>
      </c>
      <c r="C381" s="116"/>
      <c r="D381" s="85"/>
      <c r="E381" s="85"/>
      <c r="F381" s="127"/>
      <c r="G381" s="132">
        <v>0</v>
      </c>
      <c r="H381" s="132">
        <v>0</v>
      </c>
      <c r="I381" s="132">
        <v>0</v>
      </c>
      <c r="J381" s="131">
        <v>0</v>
      </c>
      <c r="K381" s="132">
        <f t="shared" si="23"/>
        <v>0</v>
      </c>
      <c r="L381" s="325"/>
      <c r="M381" s="325"/>
      <c r="N381" s="731"/>
      <c r="O381" s="613"/>
      <c r="P381" s="626"/>
    </row>
    <row r="382" spans="1:16" ht="15.5">
      <c r="A382" s="85"/>
      <c r="B382" s="85" t="s">
        <v>177</v>
      </c>
      <c r="C382" s="116"/>
      <c r="D382" s="85"/>
      <c r="E382" s="85"/>
      <c r="F382" s="127"/>
      <c r="G382" s="132">
        <v>0</v>
      </c>
      <c r="H382" s="132">
        <v>0</v>
      </c>
      <c r="I382" s="132">
        <v>0</v>
      </c>
      <c r="J382" s="131">
        <v>0</v>
      </c>
      <c r="K382" s="132">
        <f t="shared" si="23"/>
        <v>0</v>
      </c>
      <c r="L382" s="325"/>
      <c r="M382" s="325"/>
      <c r="N382" s="731"/>
      <c r="O382" s="613"/>
      <c r="P382" s="626"/>
    </row>
    <row r="383" spans="1:16" ht="15.5">
      <c r="A383" s="153"/>
      <c r="B383" s="153" t="s">
        <v>179</v>
      </c>
      <c r="C383" s="124"/>
      <c r="D383" s="94"/>
      <c r="E383" s="94"/>
      <c r="F383" s="219"/>
      <c r="G383" s="163">
        <v>1</v>
      </c>
      <c r="H383" s="164">
        <v>1</v>
      </c>
      <c r="I383" s="163">
        <v>20</v>
      </c>
      <c r="J383" s="168">
        <f>0.0153/20</f>
        <v>7.6499999999999995E-4</v>
      </c>
      <c r="K383" s="162">
        <f t="shared" si="23"/>
        <v>1.5299999999999999E-2</v>
      </c>
      <c r="L383" s="345"/>
      <c r="M383" s="345"/>
      <c r="N383" s="731"/>
      <c r="O383" s="613"/>
      <c r="P383" s="626"/>
    </row>
    <row r="384" spans="1:16" ht="33.5">
      <c r="A384" s="281"/>
      <c r="B384" s="281" t="s">
        <v>276</v>
      </c>
      <c r="C384" s="245">
        <v>0</v>
      </c>
      <c r="D384" s="245">
        <v>0</v>
      </c>
      <c r="E384" s="253">
        <v>0</v>
      </c>
      <c r="F384" s="253">
        <v>0</v>
      </c>
      <c r="G384" s="277">
        <v>1</v>
      </c>
      <c r="H384" s="278">
        <v>1</v>
      </c>
      <c r="I384" s="277">
        <v>5</v>
      </c>
      <c r="J384" s="279"/>
      <c r="K384" s="280">
        <f>+SUM(K385:K393)</f>
        <v>8.8499999999999995E-2</v>
      </c>
      <c r="L384" s="307">
        <f>+SUM(L385:L392)</f>
        <v>0</v>
      </c>
      <c r="M384" s="307">
        <f>+K384-L384</f>
        <v>8.8499999999999995E-2</v>
      </c>
      <c r="N384" s="730" t="s">
        <v>150</v>
      </c>
      <c r="O384" s="612" t="s">
        <v>380</v>
      </c>
      <c r="P384" s="625" t="s">
        <v>277</v>
      </c>
    </row>
    <row r="385" spans="1:16" ht="15.5">
      <c r="A385" s="102"/>
      <c r="B385" s="102" t="s">
        <v>172</v>
      </c>
      <c r="C385" s="116"/>
      <c r="D385" s="85"/>
      <c r="E385" s="89"/>
      <c r="F385" s="127"/>
      <c r="G385" s="129">
        <v>1</v>
      </c>
      <c r="H385" s="130">
        <v>1</v>
      </c>
      <c r="I385" s="129">
        <v>5</v>
      </c>
      <c r="J385" s="131">
        <v>3.0999999999999999E-3</v>
      </c>
      <c r="K385" s="132">
        <f>+J385*I385*H385</f>
        <v>1.55E-2</v>
      </c>
      <c r="L385" s="325"/>
      <c r="M385" s="325"/>
      <c r="N385" s="731"/>
      <c r="O385" s="613"/>
      <c r="P385" s="626"/>
    </row>
    <row r="386" spans="1:16" ht="15.5">
      <c r="A386" s="85"/>
      <c r="B386" s="85" t="s">
        <v>173</v>
      </c>
      <c r="C386" s="116"/>
      <c r="D386" s="85"/>
      <c r="E386" s="89"/>
      <c r="F386" s="127"/>
      <c r="G386" s="132">
        <v>0</v>
      </c>
      <c r="H386" s="132">
        <v>0</v>
      </c>
      <c r="I386" s="132">
        <v>0</v>
      </c>
      <c r="J386" s="131">
        <v>0</v>
      </c>
      <c r="K386" s="132">
        <f t="shared" ref="K386:K393" si="24">+J386*I386*H386*G386</f>
        <v>0</v>
      </c>
      <c r="L386" s="325"/>
      <c r="M386" s="325"/>
      <c r="N386" s="731"/>
      <c r="O386" s="613"/>
      <c r="P386" s="626"/>
    </row>
    <row r="387" spans="1:16" ht="15.5">
      <c r="A387" s="151"/>
      <c r="B387" s="151" t="s">
        <v>174</v>
      </c>
      <c r="C387" s="116"/>
      <c r="D387" s="85"/>
      <c r="E387" s="89"/>
      <c r="F387" s="127"/>
      <c r="G387" s="129">
        <v>1</v>
      </c>
      <c r="H387" s="130">
        <v>1</v>
      </c>
      <c r="I387" s="129">
        <v>4</v>
      </c>
      <c r="J387" s="131">
        <v>5.0000000000000001E-3</v>
      </c>
      <c r="K387" s="132">
        <f t="shared" si="24"/>
        <v>0.02</v>
      </c>
      <c r="L387" s="325"/>
      <c r="M387" s="325"/>
      <c r="N387" s="731"/>
      <c r="O387" s="613"/>
      <c r="P387" s="626"/>
    </row>
    <row r="388" spans="1:16" ht="15.5">
      <c r="A388" s="85"/>
      <c r="B388" s="85" t="s">
        <v>175</v>
      </c>
      <c r="C388" s="116"/>
      <c r="D388" s="85"/>
      <c r="E388" s="89"/>
      <c r="F388" s="127"/>
      <c r="G388" s="132">
        <v>0</v>
      </c>
      <c r="H388" s="132">
        <v>0</v>
      </c>
      <c r="I388" s="132">
        <v>0</v>
      </c>
      <c r="J388" s="131">
        <v>0</v>
      </c>
      <c r="K388" s="132">
        <f t="shared" si="24"/>
        <v>0</v>
      </c>
      <c r="L388" s="325"/>
      <c r="M388" s="325"/>
      <c r="N388" s="731"/>
      <c r="O388" s="613"/>
      <c r="P388" s="626"/>
    </row>
    <row r="389" spans="1:16" ht="15.5">
      <c r="A389" s="151"/>
      <c r="B389" s="151" t="s">
        <v>184</v>
      </c>
      <c r="C389" s="116"/>
      <c r="D389" s="85"/>
      <c r="E389" s="152"/>
      <c r="F389" s="127"/>
      <c r="G389" s="129">
        <v>1</v>
      </c>
      <c r="H389" s="130">
        <v>1</v>
      </c>
      <c r="I389" s="129">
        <v>1</v>
      </c>
      <c r="J389" s="131">
        <v>4.1000000000000002E-2</v>
      </c>
      <c r="K389" s="132">
        <f t="shared" si="24"/>
        <v>4.1000000000000002E-2</v>
      </c>
      <c r="L389" s="325"/>
      <c r="M389" s="325"/>
      <c r="N389" s="731"/>
      <c r="O389" s="613"/>
      <c r="P389" s="626"/>
    </row>
    <row r="390" spans="1:16" ht="15.5">
      <c r="A390" s="85"/>
      <c r="B390" s="85" t="s">
        <v>178</v>
      </c>
      <c r="C390" s="116"/>
      <c r="D390" s="85"/>
      <c r="E390" s="85"/>
      <c r="F390" s="85"/>
      <c r="G390" s="86">
        <v>1</v>
      </c>
      <c r="H390" s="87">
        <v>1</v>
      </c>
      <c r="I390" s="86">
        <v>1</v>
      </c>
      <c r="J390" s="159">
        <v>1.2E-2</v>
      </c>
      <c r="K390" s="160">
        <f t="shared" si="24"/>
        <v>1.2E-2</v>
      </c>
      <c r="L390" s="309"/>
      <c r="M390" s="309"/>
      <c r="N390" s="731"/>
      <c r="O390" s="613"/>
      <c r="P390" s="626"/>
    </row>
    <row r="391" spans="1:16" ht="15.5">
      <c r="A391" s="85"/>
      <c r="B391" s="85" t="s">
        <v>176</v>
      </c>
      <c r="C391" s="116"/>
      <c r="D391" s="85"/>
      <c r="E391" s="85"/>
      <c r="F391" s="127"/>
      <c r="G391" s="132">
        <v>0</v>
      </c>
      <c r="H391" s="132">
        <v>0</v>
      </c>
      <c r="I391" s="132">
        <v>0</v>
      </c>
      <c r="J391" s="131">
        <v>0</v>
      </c>
      <c r="K391" s="132">
        <f t="shared" si="24"/>
        <v>0</v>
      </c>
      <c r="L391" s="325"/>
      <c r="M391" s="325"/>
      <c r="N391" s="731"/>
      <c r="O391" s="613"/>
      <c r="P391" s="626"/>
    </row>
    <row r="392" spans="1:16" ht="15.5">
      <c r="A392" s="85"/>
      <c r="B392" s="85" t="s">
        <v>177</v>
      </c>
      <c r="C392" s="116"/>
      <c r="D392" s="85"/>
      <c r="E392" s="85"/>
      <c r="F392" s="127"/>
      <c r="G392" s="132">
        <v>0</v>
      </c>
      <c r="H392" s="132">
        <v>0</v>
      </c>
      <c r="I392" s="132">
        <v>0</v>
      </c>
      <c r="J392" s="131">
        <v>0</v>
      </c>
      <c r="K392" s="132">
        <f t="shared" si="24"/>
        <v>0</v>
      </c>
      <c r="L392" s="325"/>
      <c r="M392" s="325"/>
      <c r="N392" s="731"/>
      <c r="O392" s="613"/>
      <c r="P392" s="626"/>
    </row>
    <row r="393" spans="1:16" ht="15.5">
      <c r="A393" s="153"/>
      <c r="B393" s="153" t="s">
        <v>179</v>
      </c>
      <c r="C393" s="124"/>
      <c r="D393" s="94"/>
      <c r="E393" s="94"/>
      <c r="F393" s="219"/>
      <c r="G393" s="162">
        <v>0</v>
      </c>
      <c r="H393" s="162">
        <v>0</v>
      </c>
      <c r="I393" s="162">
        <v>0</v>
      </c>
      <c r="J393" s="168">
        <v>0</v>
      </c>
      <c r="K393" s="162">
        <f t="shared" si="24"/>
        <v>0</v>
      </c>
      <c r="L393" s="345"/>
      <c r="M393" s="345"/>
      <c r="N393" s="731"/>
      <c r="O393" s="613"/>
      <c r="P393" s="626"/>
    </row>
    <row r="394" spans="1:16" ht="77.5">
      <c r="A394" s="281"/>
      <c r="B394" s="281" t="s">
        <v>279</v>
      </c>
      <c r="C394" s="245">
        <v>0</v>
      </c>
      <c r="D394" s="253">
        <v>0</v>
      </c>
      <c r="E394" s="253">
        <v>0</v>
      </c>
      <c r="F394" s="253">
        <v>0</v>
      </c>
      <c r="G394" s="277">
        <v>1</v>
      </c>
      <c r="H394" s="278">
        <v>2</v>
      </c>
      <c r="I394" s="277">
        <v>5</v>
      </c>
      <c r="J394" s="279"/>
      <c r="K394" s="287">
        <f>+SUM(K395:K403)</f>
        <v>0.10245</v>
      </c>
      <c r="L394" s="307">
        <f>+SUM(L395:L402)</f>
        <v>0</v>
      </c>
      <c r="M394" s="307">
        <f>+K394-L394</f>
        <v>0.10245</v>
      </c>
      <c r="N394" s="730" t="s">
        <v>149</v>
      </c>
      <c r="O394" s="612" t="s">
        <v>381</v>
      </c>
      <c r="P394" s="625" t="s">
        <v>281</v>
      </c>
    </row>
    <row r="395" spans="1:16" ht="15.5">
      <c r="A395" s="102"/>
      <c r="B395" s="102" t="s">
        <v>172</v>
      </c>
      <c r="C395" s="116"/>
      <c r="D395" s="85"/>
      <c r="E395" s="89"/>
      <c r="F395" s="127"/>
      <c r="G395" s="132">
        <v>0</v>
      </c>
      <c r="H395" s="132">
        <v>0</v>
      </c>
      <c r="I395" s="132">
        <v>0</v>
      </c>
      <c r="J395" s="131">
        <v>0</v>
      </c>
      <c r="K395" s="132">
        <f>+J395*I395*H395*G395</f>
        <v>0</v>
      </c>
      <c r="L395" s="325"/>
      <c r="M395" s="325"/>
      <c r="N395" s="731"/>
      <c r="O395" s="613"/>
      <c r="P395" s="626"/>
    </row>
    <row r="396" spans="1:16" ht="15.5">
      <c r="A396" s="85"/>
      <c r="B396" s="85" t="s">
        <v>173</v>
      </c>
      <c r="C396" s="116"/>
      <c r="D396" s="85"/>
      <c r="E396" s="89"/>
      <c r="F396" s="127"/>
      <c r="G396" s="129">
        <v>1</v>
      </c>
      <c r="H396" s="130">
        <v>2</v>
      </c>
      <c r="I396" s="129">
        <v>5</v>
      </c>
      <c r="J396" s="131">
        <v>2.0999999999999999E-3</v>
      </c>
      <c r="K396" s="132">
        <f>+J396*I396*H396</f>
        <v>2.1000000000000001E-2</v>
      </c>
      <c r="L396" s="325"/>
      <c r="M396" s="325"/>
      <c r="N396" s="731"/>
      <c r="O396" s="613"/>
      <c r="P396" s="626"/>
    </row>
    <row r="397" spans="1:16" ht="15.5">
      <c r="A397" s="151"/>
      <c r="B397" s="151" t="s">
        <v>174</v>
      </c>
      <c r="C397" s="116"/>
      <c r="D397" s="85"/>
      <c r="E397" s="89"/>
      <c r="F397" s="127"/>
      <c r="G397" s="132">
        <v>0</v>
      </c>
      <c r="H397" s="132">
        <v>0</v>
      </c>
      <c r="I397" s="132">
        <v>0</v>
      </c>
      <c r="J397" s="131">
        <v>0</v>
      </c>
      <c r="K397" s="132">
        <f t="shared" ref="K397:K403" si="25">+J397*I397*H397*G397</f>
        <v>0</v>
      </c>
      <c r="L397" s="325"/>
      <c r="M397" s="325"/>
      <c r="N397" s="731"/>
      <c r="O397" s="613"/>
      <c r="P397" s="626"/>
    </row>
    <row r="398" spans="1:16" ht="15.5">
      <c r="A398" s="85"/>
      <c r="B398" s="85" t="s">
        <v>175</v>
      </c>
      <c r="C398" s="116"/>
      <c r="D398" s="85"/>
      <c r="E398" s="89"/>
      <c r="F398" s="127"/>
      <c r="G398" s="129">
        <v>1</v>
      </c>
      <c r="H398" s="130">
        <v>2</v>
      </c>
      <c r="I398" s="129">
        <v>4</v>
      </c>
      <c r="J398" s="131">
        <v>3.0000000000000001E-3</v>
      </c>
      <c r="K398" s="132">
        <f t="shared" si="25"/>
        <v>2.4E-2</v>
      </c>
      <c r="L398" s="325"/>
      <c r="M398" s="325"/>
      <c r="N398" s="731"/>
      <c r="O398" s="613"/>
      <c r="P398" s="626"/>
    </row>
    <row r="399" spans="1:16" ht="15.5">
      <c r="A399" s="151"/>
      <c r="B399" s="151" t="s">
        <v>184</v>
      </c>
      <c r="C399" s="116"/>
      <c r="D399" s="85"/>
      <c r="E399" s="152"/>
      <c r="F399" s="127"/>
      <c r="G399" s="129">
        <v>1</v>
      </c>
      <c r="H399" s="130">
        <v>2</v>
      </c>
      <c r="I399" s="129">
        <v>1</v>
      </c>
      <c r="J399" s="131">
        <v>2.5999999999999999E-2</v>
      </c>
      <c r="K399" s="132">
        <f t="shared" si="25"/>
        <v>5.1999999999999998E-2</v>
      </c>
      <c r="L399" s="325"/>
      <c r="M399" s="325"/>
      <c r="N399" s="731"/>
      <c r="O399" s="613"/>
      <c r="P399" s="626"/>
    </row>
    <row r="400" spans="1:16" ht="15.5">
      <c r="A400" s="85"/>
      <c r="B400" s="85" t="s">
        <v>178</v>
      </c>
      <c r="C400" s="116"/>
      <c r="D400" s="85"/>
      <c r="E400" s="85"/>
      <c r="F400" s="85"/>
      <c r="G400" s="132">
        <v>0</v>
      </c>
      <c r="H400" s="132">
        <v>0</v>
      </c>
      <c r="I400" s="132">
        <v>0</v>
      </c>
      <c r="J400" s="131">
        <v>0</v>
      </c>
      <c r="K400" s="132">
        <f t="shared" si="25"/>
        <v>0</v>
      </c>
      <c r="L400" s="325"/>
      <c r="M400" s="325"/>
      <c r="N400" s="731"/>
      <c r="O400" s="613"/>
      <c r="P400" s="626"/>
    </row>
    <row r="401" spans="1:16" ht="15.5">
      <c r="A401" s="85"/>
      <c r="B401" s="85" t="s">
        <v>176</v>
      </c>
      <c r="C401" s="116"/>
      <c r="D401" s="85"/>
      <c r="E401" s="85"/>
      <c r="F401" s="127"/>
      <c r="G401" s="132">
        <v>0</v>
      </c>
      <c r="H401" s="132">
        <v>0</v>
      </c>
      <c r="I401" s="132">
        <v>0</v>
      </c>
      <c r="J401" s="131">
        <v>0</v>
      </c>
      <c r="K401" s="132">
        <f t="shared" si="25"/>
        <v>0</v>
      </c>
      <c r="L401" s="325"/>
      <c r="M401" s="325"/>
      <c r="N401" s="731"/>
      <c r="O401" s="613"/>
      <c r="P401" s="626"/>
    </row>
    <row r="402" spans="1:16" ht="15.5">
      <c r="A402" s="85"/>
      <c r="B402" s="85" t="s">
        <v>177</v>
      </c>
      <c r="C402" s="116"/>
      <c r="D402" s="85"/>
      <c r="E402" s="85"/>
      <c r="F402" s="127"/>
      <c r="G402" s="132">
        <v>0</v>
      </c>
      <c r="H402" s="132">
        <v>0</v>
      </c>
      <c r="I402" s="132">
        <v>0</v>
      </c>
      <c r="J402" s="131">
        <v>0</v>
      </c>
      <c r="K402" s="132">
        <f t="shared" si="25"/>
        <v>0</v>
      </c>
      <c r="L402" s="325"/>
      <c r="M402" s="325"/>
      <c r="N402" s="731"/>
      <c r="O402" s="613"/>
      <c r="P402" s="626"/>
    </row>
    <row r="403" spans="1:16" ht="15.5">
      <c r="A403" s="153"/>
      <c r="B403" s="153" t="s">
        <v>179</v>
      </c>
      <c r="C403" s="124"/>
      <c r="D403" s="94"/>
      <c r="E403" s="85"/>
      <c r="F403" s="128"/>
      <c r="G403" s="182">
        <v>1</v>
      </c>
      <c r="H403" s="87">
        <v>2</v>
      </c>
      <c r="I403" s="182">
        <v>5</v>
      </c>
      <c r="J403" s="131">
        <f>0.002725/5</f>
        <v>5.4500000000000002E-4</v>
      </c>
      <c r="K403" s="132">
        <f t="shared" si="25"/>
        <v>5.45E-3</v>
      </c>
      <c r="L403" s="325"/>
      <c r="M403" s="325"/>
      <c r="N403" s="731"/>
      <c r="O403" s="613"/>
      <c r="P403" s="626"/>
    </row>
    <row r="404" spans="1:16" ht="31">
      <c r="A404" s="254"/>
      <c r="B404" s="254" t="s">
        <v>283</v>
      </c>
      <c r="C404" s="288">
        <v>0</v>
      </c>
      <c r="D404" s="288">
        <v>0</v>
      </c>
      <c r="E404" s="251">
        <v>7.1800000000000003E-2</v>
      </c>
      <c r="F404" s="733" t="s">
        <v>335</v>
      </c>
      <c r="G404" s="260">
        <v>1</v>
      </c>
      <c r="H404" s="261">
        <v>1</v>
      </c>
      <c r="I404" s="260">
        <v>4</v>
      </c>
      <c r="J404" s="262"/>
      <c r="K404" s="263">
        <f>+SUM(K405:K413)</f>
        <v>6.3399999999999998E-2</v>
      </c>
      <c r="L404" s="307">
        <f>+SUM(L405:L412)</f>
        <v>0</v>
      </c>
      <c r="M404" s="307">
        <f>+K404-L404</f>
        <v>6.3399999999999998E-2</v>
      </c>
      <c r="N404" s="736" t="s">
        <v>150</v>
      </c>
      <c r="O404" s="612" t="s">
        <v>382</v>
      </c>
      <c r="P404" s="618" t="s">
        <v>285</v>
      </c>
    </row>
    <row r="405" spans="1:16" ht="15.5">
      <c r="A405" s="102"/>
      <c r="B405" s="102" t="s">
        <v>172</v>
      </c>
      <c r="C405" s="116"/>
      <c r="D405" s="85"/>
      <c r="E405" s="85"/>
      <c r="F405" s="734"/>
      <c r="G405" s="86">
        <v>1</v>
      </c>
      <c r="H405" s="87">
        <v>1</v>
      </c>
      <c r="I405" s="86">
        <v>4</v>
      </c>
      <c r="J405" s="88">
        <v>3.0999999999999999E-3</v>
      </c>
      <c r="K405" s="89">
        <f>+J405*I405*H405</f>
        <v>1.24E-2</v>
      </c>
      <c r="L405" s="309"/>
      <c r="M405" s="309"/>
      <c r="N405" s="737"/>
      <c r="O405" s="613"/>
      <c r="P405" s="621"/>
    </row>
    <row r="406" spans="1:16" ht="15.5">
      <c r="A406" s="85"/>
      <c r="B406" s="85" t="s">
        <v>173</v>
      </c>
      <c r="C406" s="116"/>
      <c r="D406" s="85"/>
      <c r="E406" s="85"/>
      <c r="F406" s="734"/>
      <c r="G406" s="89">
        <v>0</v>
      </c>
      <c r="H406" s="89">
        <v>0</v>
      </c>
      <c r="I406" s="89">
        <v>0</v>
      </c>
      <c r="J406" s="89">
        <v>0</v>
      </c>
      <c r="K406" s="89">
        <f t="shared" ref="K406:K413" si="26">+J406*I406*H406*G406</f>
        <v>0</v>
      </c>
      <c r="L406" s="309"/>
      <c r="M406" s="309"/>
      <c r="N406" s="737"/>
      <c r="O406" s="613"/>
      <c r="P406" s="621"/>
    </row>
    <row r="407" spans="1:16" ht="15.5">
      <c r="A407" s="85"/>
      <c r="B407" s="85" t="s">
        <v>174</v>
      </c>
      <c r="C407" s="116"/>
      <c r="D407" s="85"/>
      <c r="E407" s="85"/>
      <c r="F407" s="734"/>
      <c r="G407" s="86">
        <v>1</v>
      </c>
      <c r="H407" s="86">
        <v>1</v>
      </c>
      <c r="I407" s="86">
        <v>3</v>
      </c>
      <c r="J407" s="89">
        <v>6.0000000000000001E-3</v>
      </c>
      <c r="K407" s="89">
        <f t="shared" si="26"/>
        <v>1.7999999999999999E-2</v>
      </c>
      <c r="L407" s="309"/>
      <c r="M407" s="309"/>
      <c r="N407" s="737"/>
      <c r="O407" s="613"/>
      <c r="P407" s="621"/>
    </row>
    <row r="408" spans="1:16" ht="15.5">
      <c r="A408" s="85"/>
      <c r="B408" s="85" t="s">
        <v>175</v>
      </c>
      <c r="C408" s="116"/>
      <c r="D408" s="85"/>
      <c r="E408" s="85"/>
      <c r="F408" s="734"/>
      <c r="G408" s="89">
        <v>0</v>
      </c>
      <c r="H408" s="89">
        <v>0</v>
      </c>
      <c r="I408" s="89">
        <v>0</v>
      </c>
      <c r="J408" s="89">
        <v>0</v>
      </c>
      <c r="K408" s="89">
        <f t="shared" si="26"/>
        <v>0</v>
      </c>
      <c r="L408" s="309"/>
      <c r="M408" s="309"/>
      <c r="N408" s="737"/>
      <c r="O408" s="613"/>
      <c r="P408" s="621"/>
    </row>
    <row r="409" spans="1:16" ht="15.5">
      <c r="A409" s="85"/>
      <c r="B409" s="85" t="s">
        <v>184</v>
      </c>
      <c r="C409" s="116"/>
      <c r="D409" s="85"/>
      <c r="E409" s="85"/>
      <c r="F409" s="734"/>
      <c r="G409" s="86">
        <v>1</v>
      </c>
      <c r="H409" s="86">
        <v>1</v>
      </c>
      <c r="I409" s="86">
        <v>1</v>
      </c>
      <c r="J409" s="89">
        <v>2.5000000000000001E-2</v>
      </c>
      <c r="K409" s="89">
        <f t="shared" si="26"/>
        <v>2.5000000000000001E-2</v>
      </c>
      <c r="L409" s="309"/>
      <c r="M409" s="309"/>
      <c r="N409" s="737"/>
      <c r="O409" s="613"/>
      <c r="P409" s="621"/>
    </row>
    <row r="410" spans="1:16" ht="15.5">
      <c r="A410" s="85"/>
      <c r="B410" s="85" t="s">
        <v>178</v>
      </c>
      <c r="C410" s="116"/>
      <c r="D410" s="85"/>
      <c r="E410" s="85"/>
      <c r="F410" s="734"/>
      <c r="G410" s="86">
        <v>1</v>
      </c>
      <c r="H410" s="86">
        <v>1</v>
      </c>
      <c r="I410" s="86">
        <v>1</v>
      </c>
      <c r="J410" s="89">
        <v>3.0000000000000001E-3</v>
      </c>
      <c r="K410" s="89">
        <f t="shared" si="26"/>
        <v>3.0000000000000001E-3</v>
      </c>
      <c r="L410" s="309"/>
      <c r="M410" s="309"/>
      <c r="N410" s="737"/>
      <c r="O410" s="613"/>
      <c r="P410" s="621"/>
    </row>
    <row r="411" spans="1:16" ht="15.5">
      <c r="A411" s="85"/>
      <c r="B411" s="85" t="s">
        <v>176</v>
      </c>
      <c r="C411" s="116"/>
      <c r="D411" s="85"/>
      <c r="E411" s="85"/>
      <c r="F411" s="734"/>
      <c r="G411" s="86">
        <v>0</v>
      </c>
      <c r="H411" s="86">
        <v>0</v>
      </c>
      <c r="I411" s="86">
        <v>0</v>
      </c>
      <c r="J411" s="89">
        <v>0</v>
      </c>
      <c r="K411" s="89">
        <f t="shared" si="26"/>
        <v>0</v>
      </c>
      <c r="L411" s="309"/>
      <c r="M411" s="309"/>
      <c r="N411" s="737"/>
      <c r="O411" s="613"/>
      <c r="P411" s="621"/>
    </row>
    <row r="412" spans="1:16" ht="15.5">
      <c r="A412" s="85"/>
      <c r="B412" s="85" t="s">
        <v>177</v>
      </c>
      <c r="C412" s="116"/>
      <c r="D412" s="85"/>
      <c r="E412" s="85"/>
      <c r="F412" s="734"/>
      <c r="G412" s="86">
        <v>0</v>
      </c>
      <c r="H412" s="87">
        <v>0</v>
      </c>
      <c r="I412" s="86">
        <v>0</v>
      </c>
      <c r="J412" s="88">
        <v>0</v>
      </c>
      <c r="K412" s="89">
        <f t="shared" si="26"/>
        <v>0</v>
      </c>
      <c r="L412" s="309"/>
      <c r="M412" s="309"/>
      <c r="N412" s="737"/>
      <c r="O412" s="613"/>
      <c r="P412" s="621"/>
    </row>
    <row r="413" spans="1:16" ht="15.5">
      <c r="A413" s="103"/>
      <c r="B413" s="103" t="s">
        <v>179</v>
      </c>
      <c r="C413" s="124"/>
      <c r="D413" s="94"/>
      <c r="E413" s="94"/>
      <c r="F413" s="735"/>
      <c r="G413" s="105">
        <v>1</v>
      </c>
      <c r="H413" s="106">
        <v>1</v>
      </c>
      <c r="I413" s="105">
        <v>4</v>
      </c>
      <c r="J413" s="97">
        <f>0.005/4</f>
        <v>1.25E-3</v>
      </c>
      <c r="K413" s="98">
        <f t="shared" si="26"/>
        <v>5.0000000000000001E-3</v>
      </c>
      <c r="L413" s="316"/>
      <c r="M413" s="316"/>
      <c r="N413" s="738"/>
      <c r="O413" s="614"/>
      <c r="P413" s="622"/>
    </row>
    <row r="414" spans="1:16" ht="62">
      <c r="A414" s="257"/>
      <c r="B414" s="257" t="s">
        <v>286</v>
      </c>
      <c r="C414" s="289">
        <v>0</v>
      </c>
      <c r="D414" s="289">
        <v>0</v>
      </c>
      <c r="E414" s="289">
        <v>0</v>
      </c>
      <c r="F414" s="289">
        <v>0</v>
      </c>
      <c r="G414" s="260">
        <v>1</v>
      </c>
      <c r="H414" s="261">
        <v>1</v>
      </c>
      <c r="I414" s="260">
        <v>5</v>
      </c>
      <c r="J414" s="262"/>
      <c r="K414" s="263">
        <f>+SUM(K415:K423)</f>
        <v>8.5500000000000007E-2</v>
      </c>
      <c r="L414" s="307">
        <f>+SUM(L415:L422)</f>
        <v>0</v>
      </c>
      <c r="M414" s="307">
        <f>+K414-L414</f>
        <v>8.5500000000000007E-2</v>
      </c>
      <c r="N414" s="730" t="s">
        <v>149</v>
      </c>
      <c r="O414" s="612" t="s">
        <v>354</v>
      </c>
      <c r="P414" s="618" t="s">
        <v>287</v>
      </c>
    </row>
    <row r="415" spans="1:16" ht="15.5">
      <c r="A415" s="102"/>
      <c r="B415" s="102" t="s">
        <v>172</v>
      </c>
      <c r="C415" s="116"/>
      <c r="D415" s="85"/>
      <c r="E415" s="85"/>
      <c r="F415" s="85"/>
      <c r="G415" s="86">
        <v>1</v>
      </c>
      <c r="H415" s="87">
        <v>1</v>
      </c>
      <c r="I415" s="86">
        <v>5</v>
      </c>
      <c r="J415" s="88">
        <v>3.0999999999999999E-3</v>
      </c>
      <c r="K415" s="89">
        <f>+J415*I415*H415</f>
        <v>1.55E-2</v>
      </c>
      <c r="L415" s="309"/>
      <c r="M415" s="309"/>
      <c r="N415" s="731"/>
      <c r="O415" s="613"/>
      <c r="P415" s="621"/>
    </row>
    <row r="416" spans="1:16" ht="15.5">
      <c r="A416" s="85"/>
      <c r="B416" s="85" t="s">
        <v>173</v>
      </c>
      <c r="C416" s="116"/>
      <c r="D416" s="85"/>
      <c r="E416" s="85"/>
      <c r="F416" s="85"/>
      <c r="G416" s="89">
        <v>0</v>
      </c>
      <c r="H416" s="89">
        <v>0</v>
      </c>
      <c r="I416" s="89">
        <v>0</v>
      </c>
      <c r="J416" s="89">
        <v>0</v>
      </c>
      <c r="K416" s="89">
        <f>+J416*I416*H416*G416</f>
        <v>0</v>
      </c>
      <c r="L416" s="309"/>
      <c r="M416" s="309"/>
      <c r="N416" s="731"/>
      <c r="O416" s="613"/>
      <c r="P416" s="621"/>
    </row>
    <row r="417" spans="1:16" ht="15.5">
      <c r="A417" s="85"/>
      <c r="B417" s="85" t="s">
        <v>174</v>
      </c>
      <c r="C417" s="116"/>
      <c r="D417" s="85"/>
      <c r="E417" s="85"/>
      <c r="F417" s="85"/>
      <c r="G417" s="86">
        <v>1</v>
      </c>
      <c r="H417" s="86">
        <v>1</v>
      </c>
      <c r="I417" s="86">
        <v>4</v>
      </c>
      <c r="J417" s="89">
        <v>5.0000000000000001E-3</v>
      </c>
      <c r="K417" s="89">
        <f>+J417*I417*H417*G417</f>
        <v>0.02</v>
      </c>
      <c r="L417" s="309"/>
      <c r="M417" s="309"/>
      <c r="N417" s="731"/>
      <c r="O417" s="613"/>
      <c r="P417" s="621"/>
    </row>
    <row r="418" spans="1:16" ht="15.5">
      <c r="A418" s="85"/>
      <c r="B418" s="85" t="s">
        <v>175</v>
      </c>
      <c r="C418" s="116"/>
      <c r="D418" s="85"/>
      <c r="E418" s="85"/>
      <c r="F418" s="85"/>
      <c r="G418" s="89">
        <v>0</v>
      </c>
      <c r="H418" s="89">
        <v>0</v>
      </c>
      <c r="I418" s="89">
        <v>0</v>
      </c>
      <c r="J418" s="89">
        <v>0</v>
      </c>
      <c r="K418" s="89">
        <f>+J418*I418*H418*G418</f>
        <v>0</v>
      </c>
      <c r="L418" s="309"/>
      <c r="M418" s="309"/>
      <c r="N418" s="731"/>
      <c r="O418" s="613"/>
      <c r="P418" s="621"/>
    </row>
    <row r="419" spans="1:16" ht="15.5">
      <c r="A419" s="85"/>
      <c r="B419" s="85" t="s">
        <v>184</v>
      </c>
      <c r="C419" s="116"/>
      <c r="D419" s="85"/>
      <c r="E419" s="85"/>
      <c r="F419" s="85"/>
      <c r="G419" s="86">
        <v>1</v>
      </c>
      <c r="H419" s="86">
        <v>1</v>
      </c>
      <c r="I419" s="86">
        <v>1</v>
      </c>
      <c r="J419" s="89">
        <v>4.4999999999999998E-2</v>
      </c>
      <c r="K419" s="89">
        <f>+J419*I419*H419*G419</f>
        <v>4.4999999999999998E-2</v>
      </c>
      <c r="L419" s="309"/>
      <c r="M419" s="309"/>
      <c r="N419" s="731"/>
      <c r="O419" s="613"/>
      <c r="P419" s="621"/>
    </row>
    <row r="420" spans="1:16" ht="15.5">
      <c r="A420" s="85"/>
      <c r="B420" s="85" t="s">
        <v>178</v>
      </c>
      <c r="C420" s="116"/>
      <c r="D420" s="85"/>
      <c r="E420" s="85"/>
      <c r="F420" s="85"/>
      <c r="G420" s="89">
        <v>0</v>
      </c>
      <c r="H420" s="89">
        <v>0</v>
      </c>
      <c r="I420" s="89">
        <v>0</v>
      </c>
      <c r="J420" s="89">
        <v>0</v>
      </c>
      <c r="K420" s="89">
        <v>0</v>
      </c>
      <c r="L420" s="309"/>
      <c r="M420" s="309"/>
      <c r="N420" s="731"/>
      <c r="O420" s="613"/>
      <c r="P420" s="621"/>
    </row>
    <row r="421" spans="1:16" ht="15.5">
      <c r="A421" s="85"/>
      <c r="B421" s="85" t="s">
        <v>176</v>
      </c>
      <c r="C421" s="116"/>
      <c r="D421" s="85"/>
      <c r="E421" s="85"/>
      <c r="F421" s="85"/>
      <c r="G421" s="89">
        <v>0</v>
      </c>
      <c r="H421" s="89">
        <v>0</v>
      </c>
      <c r="I421" s="89">
        <v>0</v>
      </c>
      <c r="J421" s="89">
        <v>0</v>
      </c>
      <c r="K421" s="89">
        <f>+J421*I421*H421*G421</f>
        <v>0</v>
      </c>
      <c r="L421" s="309"/>
      <c r="M421" s="309"/>
      <c r="N421" s="731"/>
      <c r="O421" s="613"/>
      <c r="P421" s="621"/>
    </row>
    <row r="422" spans="1:16" ht="15.5">
      <c r="A422" s="85"/>
      <c r="B422" s="85" t="s">
        <v>177</v>
      </c>
      <c r="C422" s="116"/>
      <c r="D422" s="85"/>
      <c r="E422" s="85"/>
      <c r="F422" s="85"/>
      <c r="G422" s="89">
        <v>0</v>
      </c>
      <c r="H422" s="89">
        <v>0</v>
      </c>
      <c r="I422" s="89">
        <v>0</v>
      </c>
      <c r="J422" s="88">
        <v>0</v>
      </c>
      <c r="K422" s="89">
        <f>+J422*I422*H422*G422</f>
        <v>0</v>
      </c>
      <c r="L422" s="309"/>
      <c r="M422" s="309"/>
      <c r="N422" s="731"/>
      <c r="O422" s="613"/>
      <c r="P422" s="621"/>
    </row>
    <row r="423" spans="1:16" ht="15.5">
      <c r="A423" s="103"/>
      <c r="B423" s="103" t="s">
        <v>179</v>
      </c>
      <c r="C423" s="124"/>
      <c r="D423" s="94"/>
      <c r="E423" s="94"/>
      <c r="F423" s="94"/>
      <c r="G423" s="105">
        <v>1</v>
      </c>
      <c r="H423" s="106">
        <v>1</v>
      </c>
      <c r="I423" s="105">
        <v>5</v>
      </c>
      <c r="J423" s="97">
        <f>0.005/5</f>
        <v>1E-3</v>
      </c>
      <c r="K423" s="98">
        <f>+J423*I423*H423*G423</f>
        <v>5.0000000000000001E-3</v>
      </c>
      <c r="L423" s="316"/>
      <c r="M423" s="316"/>
      <c r="N423" s="732"/>
      <c r="O423" s="614"/>
      <c r="P423" s="622"/>
    </row>
    <row r="424" spans="1:16" ht="46.5">
      <c r="A424" s="257"/>
      <c r="B424" s="257" t="s">
        <v>288</v>
      </c>
      <c r="C424" s="289">
        <v>0</v>
      </c>
      <c r="D424" s="289">
        <v>0</v>
      </c>
      <c r="E424" s="289">
        <v>0</v>
      </c>
      <c r="F424" s="289">
        <v>0</v>
      </c>
      <c r="G424" s="260">
        <v>1</v>
      </c>
      <c r="H424" s="261">
        <v>4</v>
      </c>
      <c r="I424" s="260">
        <v>5</v>
      </c>
      <c r="J424" s="262"/>
      <c r="K424" s="263">
        <f>+K425+K426+K427+K428+K429+K430+K431+K432+K433+K434</f>
        <v>0.44800000000000001</v>
      </c>
      <c r="L424" s="307">
        <f>+SUM(L425:L432)</f>
        <v>0</v>
      </c>
      <c r="M424" s="307">
        <f>+K424-L424</f>
        <v>0.44800000000000001</v>
      </c>
      <c r="N424" s="730" t="s">
        <v>149</v>
      </c>
      <c r="O424" s="612" t="s">
        <v>383</v>
      </c>
      <c r="P424" s="618" t="s">
        <v>290</v>
      </c>
    </row>
    <row r="425" spans="1:16" ht="15.5">
      <c r="A425" s="102"/>
      <c r="B425" s="102" t="s">
        <v>172</v>
      </c>
      <c r="C425" s="116"/>
      <c r="D425" s="85"/>
      <c r="E425" s="85"/>
      <c r="F425" s="85"/>
      <c r="G425" s="86">
        <v>1</v>
      </c>
      <c r="H425" s="87">
        <v>4</v>
      </c>
      <c r="I425" s="86">
        <v>5</v>
      </c>
      <c r="J425" s="88">
        <v>3.0999999999999999E-3</v>
      </c>
      <c r="K425" s="89">
        <f t="shared" ref="K425:K434" si="27">+J425*I425*H425*G425</f>
        <v>6.2E-2</v>
      </c>
      <c r="L425" s="309"/>
      <c r="M425" s="309"/>
      <c r="N425" s="731"/>
      <c r="O425" s="613"/>
      <c r="P425" s="621"/>
    </row>
    <row r="426" spans="1:16" ht="15.5">
      <c r="A426" s="85"/>
      <c r="B426" s="85" t="s">
        <v>173</v>
      </c>
      <c r="C426" s="116"/>
      <c r="D426" s="85"/>
      <c r="E426" s="85"/>
      <c r="F426" s="85"/>
      <c r="G426" s="89">
        <v>0</v>
      </c>
      <c r="H426" s="89">
        <v>0</v>
      </c>
      <c r="I426" s="89">
        <v>0</v>
      </c>
      <c r="J426" s="89">
        <v>0</v>
      </c>
      <c r="K426" s="89">
        <f t="shared" si="27"/>
        <v>0</v>
      </c>
      <c r="L426" s="309"/>
      <c r="M426" s="309"/>
      <c r="N426" s="731"/>
      <c r="O426" s="613"/>
      <c r="P426" s="621"/>
    </row>
    <row r="427" spans="1:16" ht="15.5">
      <c r="A427" s="85"/>
      <c r="B427" s="85" t="s">
        <v>174</v>
      </c>
      <c r="C427" s="116"/>
      <c r="D427" s="85"/>
      <c r="E427" s="85"/>
      <c r="F427" s="85"/>
      <c r="G427" s="86">
        <v>1</v>
      </c>
      <c r="H427" s="86">
        <v>4</v>
      </c>
      <c r="I427" s="86">
        <v>4</v>
      </c>
      <c r="J427" s="89">
        <v>5.0000000000000001E-3</v>
      </c>
      <c r="K427" s="89">
        <f t="shared" si="27"/>
        <v>0.08</v>
      </c>
      <c r="L427" s="309"/>
      <c r="M427" s="309"/>
      <c r="N427" s="731"/>
      <c r="O427" s="613"/>
      <c r="P427" s="621"/>
    </row>
    <row r="428" spans="1:16" ht="15.5">
      <c r="A428" s="85"/>
      <c r="B428" s="85" t="s">
        <v>175</v>
      </c>
      <c r="C428" s="116"/>
      <c r="D428" s="85"/>
      <c r="E428" s="85"/>
      <c r="F428" s="85"/>
      <c r="G428" s="89">
        <v>0</v>
      </c>
      <c r="H428" s="89">
        <v>0</v>
      </c>
      <c r="I428" s="89">
        <v>0</v>
      </c>
      <c r="J428" s="89">
        <v>0</v>
      </c>
      <c r="K428" s="89">
        <f t="shared" si="27"/>
        <v>0</v>
      </c>
      <c r="L428" s="309"/>
      <c r="M428" s="309"/>
      <c r="N428" s="731"/>
      <c r="O428" s="613"/>
      <c r="P428" s="621"/>
    </row>
    <row r="429" spans="1:16" ht="15.5">
      <c r="A429" s="151"/>
      <c r="B429" s="151" t="s">
        <v>184</v>
      </c>
      <c r="C429" s="116"/>
      <c r="D429" s="85"/>
      <c r="E429" s="85"/>
      <c r="F429" s="85"/>
      <c r="G429" s="86">
        <v>1</v>
      </c>
      <c r="H429" s="86">
        <v>1</v>
      </c>
      <c r="I429" s="86">
        <v>1</v>
      </c>
      <c r="J429" s="89">
        <v>0.13915</v>
      </c>
      <c r="K429" s="89">
        <f t="shared" si="27"/>
        <v>0.13915</v>
      </c>
      <c r="L429" s="309"/>
      <c r="M429" s="309"/>
      <c r="N429" s="731"/>
      <c r="O429" s="613"/>
      <c r="P429" s="621"/>
    </row>
    <row r="430" spans="1:16" ht="15.5">
      <c r="A430" s="141"/>
      <c r="B430" s="141"/>
      <c r="C430" s="116"/>
      <c r="D430" s="85"/>
      <c r="E430" s="85"/>
      <c r="F430" s="85"/>
      <c r="G430" s="86">
        <v>1</v>
      </c>
      <c r="H430" s="86">
        <v>3</v>
      </c>
      <c r="I430" s="86">
        <v>1</v>
      </c>
      <c r="J430" s="89">
        <v>4.8649999999999999E-2</v>
      </c>
      <c r="K430" s="183">
        <f t="shared" si="27"/>
        <v>0.14595</v>
      </c>
      <c r="L430" s="347"/>
      <c r="M430" s="347"/>
      <c r="N430" s="731"/>
      <c r="O430" s="613"/>
      <c r="P430" s="621"/>
    </row>
    <row r="431" spans="1:16" ht="15.5">
      <c r="A431" s="85"/>
      <c r="B431" s="85" t="s">
        <v>178</v>
      </c>
      <c r="C431" s="116"/>
      <c r="D431" s="85"/>
      <c r="E431" s="85"/>
      <c r="F431" s="85"/>
      <c r="G431" s="89">
        <v>0</v>
      </c>
      <c r="H431" s="89">
        <v>0</v>
      </c>
      <c r="I431" s="89">
        <v>0</v>
      </c>
      <c r="J431" s="89">
        <v>0</v>
      </c>
      <c r="K431" s="89">
        <f t="shared" si="27"/>
        <v>0</v>
      </c>
      <c r="L431" s="309"/>
      <c r="M431" s="309"/>
      <c r="N431" s="731"/>
      <c r="O431" s="613"/>
      <c r="P431" s="621"/>
    </row>
    <row r="432" spans="1:16" ht="15.5">
      <c r="A432" s="85"/>
      <c r="B432" s="85" t="s">
        <v>176</v>
      </c>
      <c r="C432" s="116"/>
      <c r="D432" s="85"/>
      <c r="E432" s="85"/>
      <c r="F432" s="85"/>
      <c r="G432" s="89">
        <v>0</v>
      </c>
      <c r="H432" s="89">
        <v>0</v>
      </c>
      <c r="I432" s="89">
        <v>0</v>
      </c>
      <c r="J432" s="89">
        <v>0</v>
      </c>
      <c r="K432" s="89">
        <f t="shared" si="27"/>
        <v>0</v>
      </c>
      <c r="L432" s="309"/>
      <c r="M432" s="309"/>
      <c r="N432" s="731"/>
      <c r="O432" s="613"/>
      <c r="P432" s="621"/>
    </row>
    <row r="433" spans="1:16" ht="15.5">
      <c r="A433" s="85"/>
      <c r="B433" s="85" t="s">
        <v>177</v>
      </c>
      <c r="C433" s="116"/>
      <c r="D433" s="85"/>
      <c r="E433" s="85"/>
      <c r="F433" s="85"/>
      <c r="G433" s="89">
        <v>0</v>
      </c>
      <c r="H433" s="89">
        <v>0</v>
      </c>
      <c r="I433" s="89">
        <v>0</v>
      </c>
      <c r="J433" s="88">
        <v>0</v>
      </c>
      <c r="K433" s="89">
        <f t="shared" si="27"/>
        <v>0</v>
      </c>
      <c r="L433" s="309"/>
      <c r="M433" s="309"/>
      <c r="N433" s="731"/>
      <c r="O433" s="613"/>
      <c r="P433" s="621"/>
    </row>
    <row r="434" spans="1:16" ht="15.5">
      <c r="A434" s="103"/>
      <c r="B434" s="103" t="s">
        <v>179</v>
      </c>
      <c r="C434" s="124"/>
      <c r="D434" s="94"/>
      <c r="E434" s="94"/>
      <c r="F434" s="94"/>
      <c r="G434" s="105">
        <v>1</v>
      </c>
      <c r="H434" s="106">
        <v>4</v>
      </c>
      <c r="I434" s="105">
        <v>5</v>
      </c>
      <c r="J434" s="97">
        <f>0.005225/5</f>
        <v>1.0449999999999999E-3</v>
      </c>
      <c r="K434" s="122">
        <f t="shared" si="27"/>
        <v>2.0899999999999998E-2</v>
      </c>
      <c r="L434" s="311"/>
      <c r="M434" s="311"/>
      <c r="N434" s="732"/>
      <c r="O434" s="614"/>
      <c r="P434" s="622"/>
    </row>
    <row r="435" spans="1:16" ht="49">
      <c r="A435" s="257"/>
      <c r="B435" s="257" t="s">
        <v>298</v>
      </c>
      <c r="C435" s="245">
        <v>0</v>
      </c>
      <c r="D435" s="245">
        <v>0</v>
      </c>
      <c r="E435" s="245">
        <v>0</v>
      </c>
      <c r="F435" s="245">
        <v>0</v>
      </c>
      <c r="G435" s="260">
        <v>1</v>
      </c>
      <c r="H435" s="261">
        <v>1</v>
      </c>
      <c r="I435" s="260">
        <v>4</v>
      </c>
      <c r="J435" s="262"/>
      <c r="K435" s="263">
        <f>+SUM(K436:K443)</f>
        <v>5.4199999999999998E-2</v>
      </c>
      <c r="L435" s="307">
        <f>+SUM(L436:L443)</f>
        <v>0</v>
      </c>
      <c r="M435" s="307">
        <f>+K435-L435</f>
        <v>5.4199999999999998E-2</v>
      </c>
      <c r="N435" s="730" t="s">
        <v>149</v>
      </c>
      <c r="O435" s="612" t="s">
        <v>384</v>
      </c>
      <c r="P435" s="619" t="s">
        <v>292</v>
      </c>
    </row>
    <row r="436" spans="1:16" ht="15.5">
      <c r="A436" s="102"/>
      <c r="B436" s="102" t="s">
        <v>172</v>
      </c>
      <c r="C436" s="116"/>
      <c r="D436" s="85"/>
      <c r="E436" s="85"/>
      <c r="F436" s="85"/>
      <c r="G436" s="86">
        <v>1</v>
      </c>
      <c r="H436" s="87">
        <v>1</v>
      </c>
      <c r="I436" s="86">
        <v>4</v>
      </c>
      <c r="J436" s="88">
        <v>3.0999999999999999E-3</v>
      </c>
      <c r="K436" s="89">
        <f>+J436*I436*H436</f>
        <v>1.24E-2</v>
      </c>
      <c r="L436" s="309"/>
      <c r="M436" s="309"/>
      <c r="N436" s="731"/>
      <c r="O436" s="613"/>
      <c r="P436" s="619"/>
    </row>
    <row r="437" spans="1:16" ht="15.5">
      <c r="A437" s="85"/>
      <c r="B437" s="85" t="s">
        <v>173</v>
      </c>
      <c r="C437" s="116"/>
      <c r="D437" s="85"/>
      <c r="E437" s="85"/>
      <c r="F437" s="85"/>
      <c r="G437" s="86">
        <v>0</v>
      </c>
      <c r="H437" s="87">
        <v>0</v>
      </c>
      <c r="I437" s="86">
        <v>0</v>
      </c>
      <c r="J437" s="88">
        <v>0</v>
      </c>
      <c r="K437" s="89">
        <f t="shared" ref="K437:K443" si="28">+J437*I437*H437*G437</f>
        <v>0</v>
      </c>
      <c r="L437" s="309"/>
      <c r="M437" s="309"/>
      <c r="N437" s="731"/>
      <c r="O437" s="613"/>
      <c r="P437" s="619"/>
    </row>
    <row r="438" spans="1:16" ht="15.5">
      <c r="A438" s="85"/>
      <c r="B438" s="85" t="s">
        <v>174</v>
      </c>
      <c r="C438" s="116"/>
      <c r="D438" s="85"/>
      <c r="E438" s="85"/>
      <c r="F438" s="85"/>
      <c r="G438" s="86">
        <v>1</v>
      </c>
      <c r="H438" s="87">
        <v>1</v>
      </c>
      <c r="I438" s="86">
        <v>4</v>
      </c>
      <c r="J438" s="88">
        <v>5.0000000000000001E-3</v>
      </c>
      <c r="K438" s="89">
        <f t="shared" si="28"/>
        <v>0.02</v>
      </c>
      <c r="L438" s="309"/>
      <c r="M438" s="309"/>
      <c r="N438" s="731"/>
      <c r="O438" s="613"/>
      <c r="P438" s="619"/>
    </row>
    <row r="439" spans="1:16" ht="15.5">
      <c r="A439" s="85"/>
      <c r="B439" s="85" t="s">
        <v>175</v>
      </c>
      <c r="C439" s="116"/>
      <c r="D439" s="85"/>
      <c r="E439" s="85"/>
      <c r="F439" s="85"/>
      <c r="G439" s="86">
        <v>0</v>
      </c>
      <c r="H439" s="87">
        <v>0</v>
      </c>
      <c r="I439" s="86">
        <v>0</v>
      </c>
      <c r="J439" s="88">
        <v>0</v>
      </c>
      <c r="K439" s="89">
        <f t="shared" si="28"/>
        <v>0</v>
      </c>
      <c r="L439" s="309"/>
      <c r="M439" s="309"/>
      <c r="N439" s="731"/>
      <c r="O439" s="613"/>
      <c r="P439" s="619"/>
    </row>
    <row r="440" spans="1:16" ht="15.5">
      <c r="A440" s="85"/>
      <c r="B440" s="85" t="s">
        <v>184</v>
      </c>
      <c r="C440" s="116"/>
      <c r="D440" s="85"/>
      <c r="E440" s="85"/>
      <c r="F440" s="85"/>
      <c r="G440" s="86">
        <v>1</v>
      </c>
      <c r="H440" s="87">
        <v>1</v>
      </c>
      <c r="I440" s="86">
        <v>1</v>
      </c>
      <c r="J440" s="88">
        <v>1.7000000000000001E-2</v>
      </c>
      <c r="K440" s="89">
        <f t="shared" si="28"/>
        <v>1.7000000000000001E-2</v>
      </c>
      <c r="L440" s="309"/>
      <c r="M440" s="309"/>
      <c r="N440" s="731"/>
      <c r="O440" s="613"/>
      <c r="P440" s="619"/>
    </row>
    <row r="441" spans="1:16" ht="15.5">
      <c r="A441" s="85"/>
      <c r="B441" s="85" t="s">
        <v>176</v>
      </c>
      <c r="C441" s="116"/>
      <c r="D441" s="85"/>
      <c r="E441" s="85"/>
      <c r="F441" s="85"/>
      <c r="G441" s="86">
        <v>0</v>
      </c>
      <c r="H441" s="87">
        <v>0</v>
      </c>
      <c r="I441" s="86">
        <v>0</v>
      </c>
      <c r="J441" s="88">
        <v>0</v>
      </c>
      <c r="K441" s="89">
        <f t="shared" si="28"/>
        <v>0</v>
      </c>
      <c r="L441" s="309"/>
      <c r="M441" s="309"/>
      <c r="N441" s="731"/>
      <c r="O441" s="613"/>
      <c r="P441" s="619"/>
    </row>
    <row r="442" spans="1:16" ht="15.5">
      <c r="A442" s="85"/>
      <c r="B442" s="85" t="s">
        <v>177</v>
      </c>
      <c r="C442" s="116"/>
      <c r="D442" s="85"/>
      <c r="E442" s="85"/>
      <c r="F442" s="85"/>
      <c r="G442" s="86">
        <v>0</v>
      </c>
      <c r="H442" s="87">
        <v>0</v>
      </c>
      <c r="I442" s="86">
        <v>0</v>
      </c>
      <c r="J442" s="88">
        <v>0</v>
      </c>
      <c r="K442" s="89">
        <f t="shared" si="28"/>
        <v>0</v>
      </c>
      <c r="L442" s="309"/>
      <c r="M442" s="309"/>
      <c r="N442" s="731"/>
      <c r="O442" s="613"/>
      <c r="P442" s="619"/>
    </row>
    <row r="443" spans="1:16" ht="15.5">
      <c r="A443" s="146"/>
      <c r="B443" s="146" t="s">
        <v>179</v>
      </c>
      <c r="C443" s="184"/>
      <c r="D443" s="146"/>
      <c r="E443" s="146"/>
      <c r="F443" s="146"/>
      <c r="G443" s="105">
        <v>1</v>
      </c>
      <c r="H443" s="106">
        <v>1</v>
      </c>
      <c r="I443" s="105">
        <v>4</v>
      </c>
      <c r="J443" s="144">
        <f>0.0048/4</f>
        <v>1.1999999999999999E-3</v>
      </c>
      <c r="K443" s="145">
        <f t="shared" si="28"/>
        <v>4.7999999999999996E-3</v>
      </c>
      <c r="L443" s="334"/>
      <c r="M443" s="334"/>
      <c r="N443" s="732"/>
      <c r="O443" s="614"/>
      <c r="P443" s="620"/>
    </row>
  </sheetData>
  <mergeCells count="136">
    <mergeCell ref="N10:N19"/>
    <mergeCell ref="O10:O19"/>
    <mergeCell ref="P10:P19"/>
    <mergeCell ref="N20:N29"/>
    <mergeCell ref="O20:O29"/>
    <mergeCell ref="P20:P29"/>
    <mergeCell ref="B1:P1"/>
    <mergeCell ref="A4:A5"/>
    <mergeCell ref="B4:B5"/>
    <mergeCell ref="C4:D4"/>
    <mergeCell ref="E4:F4"/>
    <mergeCell ref="G4:K4"/>
    <mergeCell ref="L4:L5"/>
    <mergeCell ref="M4:M5"/>
    <mergeCell ref="N4:N5"/>
    <mergeCell ref="N49:N58"/>
    <mergeCell ref="O49:O58"/>
    <mergeCell ref="P49:P58"/>
    <mergeCell ref="N59:N67"/>
    <mergeCell ref="O59:O67"/>
    <mergeCell ref="P59:P67"/>
    <mergeCell ref="N30:N38"/>
    <mergeCell ref="O30:O38"/>
    <mergeCell ref="P30:P38"/>
    <mergeCell ref="N39:N48"/>
    <mergeCell ref="O39:O48"/>
    <mergeCell ref="P39:P48"/>
    <mergeCell ref="N99:N108"/>
    <mergeCell ref="O99:O108"/>
    <mergeCell ref="P99:P108"/>
    <mergeCell ref="N109:N118"/>
    <mergeCell ref="O109:O118"/>
    <mergeCell ref="P109:P118"/>
    <mergeCell ref="O68:O77"/>
    <mergeCell ref="P68:P77"/>
    <mergeCell ref="N78:N87"/>
    <mergeCell ref="O78:O87"/>
    <mergeCell ref="P78:P87"/>
    <mergeCell ref="N88:N98"/>
    <mergeCell ref="O88:O98"/>
    <mergeCell ref="P88:P98"/>
    <mergeCell ref="N141:N155"/>
    <mergeCell ref="O141:O155"/>
    <mergeCell ref="P141:P155"/>
    <mergeCell ref="N156:N164"/>
    <mergeCell ref="O156:O164"/>
    <mergeCell ref="P156:P164"/>
    <mergeCell ref="N119:N128"/>
    <mergeCell ref="O119:O128"/>
    <mergeCell ref="P119:P128"/>
    <mergeCell ref="N132:N140"/>
    <mergeCell ref="O132:O140"/>
    <mergeCell ref="P132:P140"/>
    <mergeCell ref="N186:N194"/>
    <mergeCell ref="O186:O194"/>
    <mergeCell ref="P186:P194"/>
    <mergeCell ref="N195:N203"/>
    <mergeCell ref="O195:O203"/>
    <mergeCell ref="P195:P203"/>
    <mergeCell ref="N165:N176"/>
    <mergeCell ref="O165:O176"/>
    <mergeCell ref="P165:P176"/>
    <mergeCell ref="N177:N185"/>
    <mergeCell ref="O177:O185"/>
    <mergeCell ref="P177:P185"/>
    <mergeCell ref="N224:N234"/>
    <mergeCell ref="O224:O234"/>
    <mergeCell ref="P224:P234"/>
    <mergeCell ref="D225:D228"/>
    <mergeCell ref="N235:N245"/>
    <mergeCell ref="O235:O245"/>
    <mergeCell ref="P235:P245"/>
    <mergeCell ref="N204:N213"/>
    <mergeCell ref="O204:O213"/>
    <mergeCell ref="P204:P213"/>
    <mergeCell ref="N214:N223"/>
    <mergeCell ref="O214:O223"/>
    <mergeCell ref="P214:P223"/>
    <mergeCell ref="N268:N278"/>
    <mergeCell ref="O268:O278"/>
    <mergeCell ref="P268:P278"/>
    <mergeCell ref="N279:N287"/>
    <mergeCell ref="O279:O287"/>
    <mergeCell ref="P279:P287"/>
    <mergeCell ref="N246:N256"/>
    <mergeCell ref="O246:O256"/>
    <mergeCell ref="P246:P256"/>
    <mergeCell ref="N257:N267"/>
    <mergeCell ref="O257:O267"/>
    <mergeCell ref="P257:P267"/>
    <mergeCell ref="N308:N318"/>
    <mergeCell ref="O308:O318"/>
    <mergeCell ref="P308:P318"/>
    <mergeCell ref="N319:N328"/>
    <mergeCell ref="O319:O328"/>
    <mergeCell ref="P319:P328"/>
    <mergeCell ref="N288:N298"/>
    <mergeCell ref="O288:O298"/>
    <mergeCell ref="P288:P298"/>
    <mergeCell ref="N299:N307"/>
    <mergeCell ref="O299:O307"/>
    <mergeCell ref="P299:P307"/>
    <mergeCell ref="N351:N362"/>
    <mergeCell ref="O351:O362"/>
    <mergeCell ref="P351:P362"/>
    <mergeCell ref="N363:N374"/>
    <mergeCell ref="O363:O374"/>
    <mergeCell ref="P363:P374"/>
    <mergeCell ref="N329:N339"/>
    <mergeCell ref="O329:O339"/>
    <mergeCell ref="P329:P339"/>
    <mergeCell ref="N340:N350"/>
    <mergeCell ref="O340:O350"/>
    <mergeCell ref="P340:P350"/>
    <mergeCell ref="N394:N403"/>
    <mergeCell ref="O394:O403"/>
    <mergeCell ref="P394:P403"/>
    <mergeCell ref="F404:F413"/>
    <mergeCell ref="N404:N413"/>
    <mergeCell ref="O404:O413"/>
    <mergeCell ref="P404:P413"/>
    <mergeCell ref="N375:N383"/>
    <mergeCell ref="O375:O383"/>
    <mergeCell ref="P375:P383"/>
    <mergeCell ref="N384:N393"/>
    <mergeCell ref="O384:O393"/>
    <mergeCell ref="P384:P393"/>
    <mergeCell ref="N435:N443"/>
    <mergeCell ref="O435:O443"/>
    <mergeCell ref="P435:P443"/>
    <mergeCell ref="N414:N423"/>
    <mergeCell ref="O414:O423"/>
    <mergeCell ref="P414:P423"/>
    <mergeCell ref="N424:N434"/>
    <mergeCell ref="O424:O434"/>
    <mergeCell ref="P424:P4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  <pageSetUpPr fitToPage="1"/>
  </sheetPr>
  <dimension ref="A1:S21"/>
  <sheetViews>
    <sheetView showGridLines="0" view="pageBreakPreview" zoomScale="90" zoomScaleNormal="100" zoomScaleSheetLayoutView="90" workbookViewId="0">
      <selection activeCell="J5" sqref="J5:J7"/>
    </sheetView>
  </sheetViews>
  <sheetFormatPr defaultColWidth="9" defaultRowHeight="20.5"/>
  <cols>
    <col min="1" max="1" width="21.58203125" style="433" customWidth="1"/>
    <col min="2" max="2" width="15" style="433" customWidth="1"/>
    <col min="3" max="3" width="10.83203125" style="433" customWidth="1"/>
    <col min="4" max="4" width="10.08203125" style="433" customWidth="1"/>
    <col min="5" max="5" width="11.58203125" style="433" bestFit="1" customWidth="1"/>
    <col min="6" max="6" width="14.33203125" style="433" customWidth="1"/>
    <col min="7" max="7" width="11.33203125" style="433" customWidth="1"/>
    <col min="8" max="8" width="11.75" style="433" customWidth="1"/>
    <col min="9" max="9" width="9" style="433" customWidth="1"/>
    <col min="10" max="10" width="25.5" style="433" customWidth="1"/>
    <col min="11" max="11" width="9" style="433" customWidth="1"/>
    <col min="12" max="16384" width="9" style="433"/>
  </cols>
  <sheetData>
    <row r="1" spans="1:19" s="430" customFormat="1" ht="39.75" customHeight="1">
      <c r="A1" s="769" t="s">
        <v>503</v>
      </c>
      <c r="B1" s="769"/>
      <c r="C1" s="769"/>
      <c r="D1" s="769"/>
      <c r="E1" s="769"/>
      <c r="F1" s="769"/>
      <c r="G1" s="769"/>
      <c r="H1" s="769"/>
      <c r="I1" s="769"/>
      <c r="J1" s="769"/>
    </row>
    <row r="2" spans="1:19" s="432" customFormat="1" ht="41">
      <c r="A2" s="431" t="s">
        <v>463</v>
      </c>
      <c r="B2" s="431"/>
    </row>
    <row r="3" spans="1:19" s="432" customFormat="1" ht="22.5" customHeight="1">
      <c r="A3" s="431"/>
      <c r="B3" s="431"/>
    </row>
    <row r="4" spans="1:19" s="432" customFormat="1" ht="42.75" customHeight="1" thickBot="1">
      <c r="A4" s="770" t="s">
        <v>467</v>
      </c>
      <c r="B4" s="770"/>
      <c r="C4" s="484">
        <f>SUM(C5:C7)</f>
        <v>0</v>
      </c>
      <c r="D4" s="485" t="s">
        <v>468</v>
      </c>
      <c r="E4" s="486" t="s">
        <v>469</v>
      </c>
      <c r="F4" s="484">
        <f>SUM(F5:F7)</f>
        <v>0</v>
      </c>
      <c r="G4" s="487" t="s">
        <v>468</v>
      </c>
      <c r="H4" s="486" t="s">
        <v>390</v>
      </c>
      <c r="I4" s="484">
        <f>SUM(I5:I7)</f>
        <v>0</v>
      </c>
      <c r="J4" s="487" t="s">
        <v>388</v>
      </c>
    </row>
    <row r="5" spans="1:19" ht="17.25" customHeight="1" thickTop="1">
      <c r="B5" s="433" t="s">
        <v>454</v>
      </c>
      <c r="C5" s="488">
        <v>0</v>
      </c>
      <c r="D5" s="489" t="s">
        <v>468</v>
      </c>
      <c r="F5" s="488">
        <v>0</v>
      </c>
      <c r="G5" s="433" t="s">
        <v>388</v>
      </c>
      <c r="I5" s="488">
        <f>C5-F5</f>
        <v>0</v>
      </c>
      <c r="J5" s="433" t="s">
        <v>388</v>
      </c>
    </row>
    <row r="6" spans="1:19" ht="18" customHeight="1">
      <c r="B6" s="433" t="s">
        <v>455</v>
      </c>
      <c r="C6" s="488">
        <v>0</v>
      </c>
      <c r="D6" s="489" t="s">
        <v>468</v>
      </c>
      <c r="F6" s="488">
        <v>0</v>
      </c>
      <c r="G6" s="433" t="s">
        <v>388</v>
      </c>
      <c r="I6" s="488">
        <f>C6-F6</f>
        <v>0</v>
      </c>
      <c r="J6" s="433" t="s">
        <v>388</v>
      </c>
    </row>
    <row r="7" spans="1:19" ht="18" customHeight="1">
      <c r="B7" s="433" t="s">
        <v>456</v>
      </c>
      <c r="C7" s="488">
        <v>0</v>
      </c>
      <c r="D7" s="489" t="s">
        <v>468</v>
      </c>
      <c r="F7" s="488">
        <v>0</v>
      </c>
      <c r="G7" s="433" t="s">
        <v>388</v>
      </c>
      <c r="I7" s="488">
        <f>C7-F7</f>
        <v>0</v>
      </c>
      <c r="J7" s="433" t="s">
        <v>388</v>
      </c>
    </row>
    <row r="8" spans="1:19" ht="18" customHeight="1">
      <c r="J8" s="490" t="s">
        <v>394</v>
      </c>
      <c r="S8" s="433">
        <f>SUM(S11:S13)</f>
        <v>0</v>
      </c>
    </row>
    <row r="9" spans="1:19" s="467" customFormat="1" ht="27" customHeight="1">
      <c r="A9" s="771" t="s">
        <v>396</v>
      </c>
      <c r="B9" s="772"/>
      <c r="C9" s="764" t="s">
        <v>397</v>
      </c>
      <c r="D9" s="773" t="s">
        <v>400</v>
      </c>
      <c r="E9" s="774"/>
      <c r="F9" s="773" t="s">
        <v>401</v>
      </c>
      <c r="G9" s="777"/>
      <c r="H9" s="777"/>
      <c r="I9" s="774"/>
      <c r="J9" s="764" t="s">
        <v>402</v>
      </c>
    </row>
    <row r="10" spans="1:19" s="467" customFormat="1" ht="27" customHeight="1">
      <c r="A10" s="468" t="s">
        <v>465</v>
      </c>
      <c r="B10" s="469" t="s">
        <v>466</v>
      </c>
      <c r="C10" s="765"/>
      <c r="D10" s="775"/>
      <c r="E10" s="776"/>
      <c r="F10" s="775"/>
      <c r="G10" s="778"/>
      <c r="H10" s="778"/>
      <c r="I10" s="776"/>
      <c r="J10" s="765"/>
    </row>
    <row r="11" spans="1:19" ht="18" customHeight="1">
      <c r="A11" s="470"/>
      <c r="B11" s="471"/>
      <c r="C11" s="472"/>
      <c r="D11" s="766"/>
      <c r="E11" s="767"/>
      <c r="F11" s="766"/>
      <c r="G11" s="768"/>
      <c r="H11" s="768"/>
      <c r="I11" s="767"/>
      <c r="J11" s="473"/>
    </row>
    <row r="12" spans="1:19" ht="18" customHeight="1">
      <c r="A12" s="474"/>
      <c r="B12" s="475"/>
      <c r="C12" s="476"/>
      <c r="D12" s="754"/>
      <c r="E12" s="755"/>
      <c r="F12" s="754"/>
      <c r="G12" s="756"/>
      <c r="H12" s="756"/>
      <c r="I12" s="755"/>
      <c r="J12" s="474"/>
    </row>
    <row r="13" spans="1:19" ht="18" customHeight="1">
      <c r="A13" s="474"/>
      <c r="B13" s="475"/>
      <c r="C13" s="476"/>
      <c r="D13" s="754"/>
      <c r="E13" s="755"/>
      <c r="F13" s="754"/>
      <c r="G13" s="756"/>
      <c r="H13" s="756"/>
      <c r="I13" s="755"/>
      <c r="J13" s="474"/>
    </row>
    <row r="14" spans="1:19" ht="18" customHeight="1">
      <c r="A14" s="474"/>
      <c r="B14" s="475"/>
      <c r="C14" s="476"/>
      <c r="D14" s="754"/>
      <c r="E14" s="755"/>
      <c r="F14" s="754"/>
      <c r="G14" s="756"/>
      <c r="H14" s="756"/>
      <c r="I14" s="755"/>
      <c r="J14" s="474"/>
      <c r="S14" s="433">
        <f>SUM(S15:S22)</f>
        <v>0</v>
      </c>
    </row>
    <row r="15" spans="1:19" ht="18" customHeight="1">
      <c r="A15" s="474"/>
      <c r="B15" s="475"/>
      <c r="C15" s="476"/>
      <c r="D15" s="754"/>
      <c r="E15" s="755"/>
      <c r="F15" s="754"/>
      <c r="G15" s="756"/>
      <c r="H15" s="756"/>
      <c r="I15" s="755"/>
      <c r="J15" s="474"/>
    </row>
    <row r="16" spans="1:19" ht="18" customHeight="1">
      <c r="A16" s="474"/>
      <c r="B16" s="475"/>
      <c r="C16" s="476"/>
      <c r="D16" s="754"/>
      <c r="E16" s="755"/>
      <c r="F16" s="754"/>
      <c r="G16" s="756"/>
      <c r="H16" s="756"/>
      <c r="I16" s="755"/>
      <c r="J16" s="474"/>
    </row>
    <row r="17" spans="1:10" ht="18" customHeight="1">
      <c r="A17" s="474"/>
      <c r="B17" s="475"/>
      <c r="C17" s="476"/>
      <c r="D17" s="754"/>
      <c r="E17" s="755"/>
      <c r="F17" s="754"/>
      <c r="G17" s="756"/>
      <c r="H17" s="756"/>
      <c r="I17" s="755"/>
      <c r="J17" s="474"/>
    </row>
    <row r="18" spans="1:10" ht="18" customHeight="1">
      <c r="A18" s="474"/>
      <c r="B18" s="475"/>
      <c r="C18" s="476"/>
      <c r="D18" s="754"/>
      <c r="E18" s="755"/>
      <c r="F18" s="754"/>
      <c r="G18" s="756"/>
      <c r="H18" s="756"/>
      <c r="I18" s="755"/>
      <c r="J18" s="474"/>
    </row>
    <row r="19" spans="1:10" ht="18" customHeight="1">
      <c r="A19" s="477"/>
      <c r="B19" s="478"/>
      <c r="C19" s="479"/>
      <c r="D19" s="757"/>
      <c r="E19" s="758"/>
      <c r="F19" s="757"/>
      <c r="G19" s="759"/>
      <c r="H19" s="759"/>
      <c r="I19" s="758"/>
      <c r="J19" s="477"/>
    </row>
    <row r="20" spans="1:10" s="483" customFormat="1" ht="21" thickBot="1">
      <c r="A20" s="760" t="s">
        <v>144</v>
      </c>
      <c r="B20" s="761"/>
      <c r="C20" s="480"/>
      <c r="D20" s="762"/>
      <c r="E20" s="763"/>
      <c r="F20" s="481"/>
      <c r="G20" s="482"/>
      <c r="H20" s="482"/>
      <c r="I20" s="482"/>
      <c r="J20" s="482"/>
    </row>
    <row r="21" spans="1:10" ht="18.75" customHeight="1" thickTop="1"/>
  </sheetData>
  <mergeCells count="27">
    <mergeCell ref="A1:J1"/>
    <mergeCell ref="D13:E13"/>
    <mergeCell ref="F13:I13"/>
    <mergeCell ref="A4:B4"/>
    <mergeCell ref="A9:B9"/>
    <mergeCell ref="C9:C10"/>
    <mergeCell ref="D9:E10"/>
    <mergeCell ref="F9:I10"/>
    <mergeCell ref="D14:E14"/>
    <mergeCell ref="F14:I14"/>
    <mergeCell ref="J9:J10"/>
    <mergeCell ref="D11:E11"/>
    <mergeCell ref="F11:I11"/>
    <mergeCell ref="D12:E12"/>
    <mergeCell ref="F12:I12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20:B20"/>
    <mergeCell ref="D20:E20"/>
  </mergeCells>
  <printOptions horizontalCentered="1"/>
  <pageMargins left="0.47244094488188981" right="0.47244094488188981" top="0.78740157480314965" bottom="0.78740157480314965" header="0.39370078740157483" footer="0.51181102362204722"/>
  <pageSetup paperSize="9" scale="91" fitToHeight="100" orientation="landscape" r:id="rId1"/>
  <headerFooter alignWithMargins="0">
    <oddHeader>&amp;R&amp;"TH SarabunPSK,Bold"&amp;16Fm_คำขอ_502_3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7"/>
    <pageSetUpPr fitToPage="1"/>
  </sheetPr>
  <dimension ref="A1:AA4965"/>
  <sheetViews>
    <sheetView showGridLines="0" view="pageBreakPreview" zoomScale="85" zoomScaleNormal="75" zoomScaleSheetLayoutView="85" zoomScalePageLayoutView="70" workbookViewId="0">
      <selection activeCell="J5" sqref="J5:J7"/>
    </sheetView>
  </sheetViews>
  <sheetFormatPr defaultColWidth="9" defaultRowHeight="20.5"/>
  <cols>
    <col min="1" max="1" width="34.83203125" style="439" customWidth="1"/>
    <col min="2" max="2" width="9.5" style="439" customWidth="1"/>
    <col min="3" max="4" width="9.25" style="439" customWidth="1"/>
    <col min="5" max="5" width="11.83203125" style="439" customWidth="1"/>
    <col min="6" max="6" width="6.58203125" style="439" customWidth="1"/>
    <col min="7" max="7" width="7.33203125" style="439" customWidth="1"/>
    <col min="8" max="8" width="7.08203125" style="439" customWidth="1"/>
    <col min="9" max="9" width="7.33203125" style="439" customWidth="1"/>
    <col min="10" max="10" width="10.08203125" style="439" customWidth="1"/>
    <col min="11" max="11" width="11.25" style="439" customWidth="1"/>
    <col min="12" max="12" width="8" style="439" customWidth="1"/>
    <col min="13" max="14" width="8.08203125" style="439" customWidth="1"/>
    <col min="15" max="15" width="12.75" style="439" customWidth="1"/>
    <col min="16" max="16" width="27.25" style="439" customWidth="1"/>
    <col min="17" max="26" width="9" style="439" customWidth="1"/>
    <col min="27" max="27" width="8" style="439" hidden="1" customWidth="1"/>
    <col min="28" max="28" width="9" style="439" customWidth="1"/>
    <col min="29" max="16384" width="9" style="439"/>
  </cols>
  <sheetData>
    <row r="1" spans="1:20" s="435" customFormat="1" ht="25.5" customHeight="1">
      <c r="A1" s="793" t="s">
        <v>504</v>
      </c>
      <c r="B1" s="793"/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793"/>
      <c r="Q1" s="511"/>
      <c r="R1" s="511"/>
      <c r="S1" s="511"/>
      <c r="T1" s="511"/>
    </row>
    <row r="2" spans="1:20" s="434" customFormat="1">
      <c r="A2" s="436" t="s">
        <v>153</v>
      </c>
    </row>
    <row r="3" spans="1:20">
      <c r="A3" s="437" t="s">
        <v>464</v>
      </c>
      <c r="B3" s="438"/>
      <c r="C3" s="438"/>
      <c r="D3" s="438"/>
      <c r="F3" s="440"/>
      <c r="P3" s="515" t="s">
        <v>500</v>
      </c>
    </row>
    <row r="4" spans="1:20">
      <c r="A4" s="794" t="s">
        <v>470</v>
      </c>
      <c r="B4" s="797" t="s">
        <v>507</v>
      </c>
      <c r="C4" s="798"/>
      <c r="D4" s="797" t="s">
        <v>506</v>
      </c>
      <c r="E4" s="798"/>
      <c r="F4" s="797" t="s">
        <v>505</v>
      </c>
      <c r="G4" s="799"/>
      <c r="H4" s="799"/>
      <c r="I4" s="799"/>
      <c r="J4" s="799"/>
      <c r="K4" s="799"/>
      <c r="L4" s="799"/>
      <c r="M4" s="799"/>
      <c r="N4" s="799"/>
      <c r="O4" s="798"/>
      <c r="P4" s="794" t="s">
        <v>457</v>
      </c>
    </row>
    <row r="5" spans="1:20" ht="19.5" customHeight="1">
      <c r="A5" s="795"/>
      <c r="B5" s="782" t="s">
        <v>161</v>
      </c>
      <c r="C5" s="782" t="s">
        <v>471</v>
      </c>
      <c r="D5" s="782" t="s">
        <v>161</v>
      </c>
      <c r="E5" s="779" t="s">
        <v>498</v>
      </c>
      <c r="F5" s="779" t="s">
        <v>163</v>
      </c>
      <c r="G5" s="779" t="s">
        <v>472</v>
      </c>
      <c r="H5" s="779" t="s">
        <v>473</v>
      </c>
      <c r="I5" s="779" t="s">
        <v>165</v>
      </c>
      <c r="J5" s="782" t="s">
        <v>166</v>
      </c>
      <c r="K5" s="779" t="s">
        <v>474</v>
      </c>
      <c r="L5" s="785" t="s">
        <v>475</v>
      </c>
      <c r="M5" s="786"/>
      <c r="N5" s="787" t="s">
        <v>476</v>
      </c>
      <c r="O5" s="788"/>
      <c r="P5" s="800"/>
    </row>
    <row r="6" spans="1:20">
      <c r="A6" s="795"/>
      <c r="B6" s="783"/>
      <c r="C6" s="783"/>
      <c r="D6" s="783"/>
      <c r="E6" s="783"/>
      <c r="F6" s="780"/>
      <c r="G6" s="783"/>
      <c r="H6" s="783"/>
      <c r="I6" s="780"/>
      <c r="J6" s="783"/>
      <c r="K6" s="780"/>
      <c r="L6" s="791" t="s">
        <v>499</v>
      </c>
      <c r="M6" s="792"/>
      <c r="N6" s="789"/>
      <c r="O6" s="790"/>
      <c r="P6" s="800"/>
    </row>
    <row r="7" spans="1:20" s="441" customFormat="1" ht="36">
      <c r="A7" s="796"/>
      <c r="B7" s="781"/>
      <c r="C7" s="781"/>
      <c r="D7" s="781"/>
      <c r="E7" s="781"/>
      <c r="F7" s="784"/>
      <c r="G7" s="781"/>
      <c r="H7" s="781"/>
      <c r="I7" s="781"/>
      <c r="J7" s="781"/>
      <c r="K7" s="784"/>
      <c r="L7" s="512" t="s">
        <v>477</v>
      </c>
      <c r="M7" s="513" t="s">
        <v>478</v>
      </c>
      <c r="N7" s="514" t="s">
        <v>81</v>
      </c>
      <c r="O7" s="514" t="s">
        <v>479</v>
      </c>
      <c r="P7" s="801"/>
    </row>
    <row r="8" spans="1:20" ht="21" thickBot="1">
      <c r="A8" s="505" t="s">
        <v>144</v>
      </c>
      <c r="B8" s="505"/>
      <c r="C8" s="505"/>
      <c r="D8" s="506"/>
      <c r="E8" s="506"/>
      <c r="F8" s="506"/>
      <c r="G8" s="507"/>
      <c r="H8" s="506"/>
      <c r="I8" s="508"/>
      <c r="J8" s="506"/>
      <c r="K8" s="507"/>
      <c r="L8" s="506"/>
      <c r="M8" s="506"/>
      <c r="N8" s="507"/>
      <c r="O8" s="506"/>
      <c r="P8" s="506"/>
    </row>
    <row r="9" spans="1:20" s="516" customFormat="1" ht="21" customHeight="1" thickTop="1">
      <c r="A9" s="491" t="s">
        <v>480</v>
      </c>
      <c r="B9" s="492"/>
      <c r="C9" s="492"/>
      <c r="D9" s="493"/>
      <c r="E9" s="492"/>
      <c r="F9" s="494"/>
      <c r="G9" s="495"/>
      <c r="H9" s="494"/>
      <c r="I9" s="495"/>
      <c r="J9" s="492"/>
      <c r="K9" s="495"/>
      <c r="L9" s="494"/>
      <c r="M9" s="496"/>
      <c r="N9" s="495"/>
      <c r="O9" s="494"/>
      <c r="P9" s="493"/>
    </row>
    <row r="10" spans="1:20" s="516" customFormat="1" ht="21" customHeight="1">
      <c r="A10" s="497" t="s">
        <v>481</v>
      </c>
      <c r="B10" s="492"/>
      <c r="C10" s="492"/>
      <c r="D10" s="493"/>
      <c r="E10" s="492"/>
      <c r="F10" s="494"/>
      <c r="G10" s="495"/>
      <c r="H10" s="494"/>
      <c r="I10" s="495"/>
      <c r="J10" s="492"/>
      <c r="K10" s="495"/>
      <c r="L10" s="494"/>
      <c r="M10" s="494"/>
      <c r="N10" s="495"/>
      <c r="O10" s="494"/>
      <c r="P10" s="493"/>
    </row>
    <row r="11" spans="1:20" s="516" customFormat="1" ht="21" customHeight="1">
      <c r="A11" s="497" t="s">
        <v>482</v>
      </c>
      <c r="B11" s="492"/>
      <c r="C11" s="492"/>
      <c r="D11" s="493"/>
      <c r="E11" s="492"/>
      <c r="F11" s="494"/>
      <c r="G11" s="495"/>
      <c r="H11" s="494"/>
      <c r="I11" s="495"/>
      <c r="J11" s="492"/>
      <c r="K11" s="495"/>
      <c r="L11" s="494"/>
      <c r="M11" s="494"/>
      <c r="N11" s="495"/>
      <c r="O11" s="494"/>
      <c r="P11" s="493"/>
    </row>
    <row r="12" spans="1:20" s="516" customFormat="1" ht="21" customHeight="1">
      <c r="A12" s="497" t="s">
        <v>483</v>
      </c>
      <c r="B12" s="493"/>
      <c r="C12" s="493"/>
      <c r="D12" s="493"/>
      <c r="E12" s="493"/>
      <c r="F12" s="498"/>
      <c r="G12" s="499"/>
      <c r="H12" s="498"/>
      <c r="I12" s="499"/>
      <c r="J12" s="493"/>
      <c r="K12" s="499"/>
      <c r="L12" s="498"/>
      <c r="M12" s="498"/>
      <c r="N12" s="499"/>
      <c r="O12" s="498"/>
      <c r="P12" s="493"/>
    </row>
    <row r="13" spans="1:20" s="516" customFormat="1" ht="21" customHeight="1">
      <c r="A13" s="497" t="s">
        <v>484</v>
      </c>
      <c r="B13" s="493"/>
      <c r="C13" s="493"/>
      <c r="D13" s="493"/>
      <c r="E13" s="493"/>
      <c r="F13" s="498"/>
      <c r="G13" s="499"/>
      <c r="H13" s="498"/>
      <c r="I13" s="499"/>
      <c r="J13" s="493"/>
      <c r="K13" s="499"/>
      <c r="L13" s="498"/>
      <c r="M13" s="498"/>
      <c r="N13" s="499"/>
      <c r="O13" s="498"/>
      <c r="P13" s="493"/>
    </row>
    <row r="14" spans="1:20" s="516" customFormat="1" ht="21" customHeight="1">
      <c r="A14" s="493" t="s">
        <v>485</v>
      </c>
      <c r="B14" s="493"/>
      <c r="C14" s="493"/>
      <c r="D14" s="493"/>
      <c r="E14" s="493"/>
      <c r="F14" s="493"/>
      <c r="G14" s="500"/>
      <c r="H14" s="493"/>
      <c r="I14" s="500"/>
      <c r="J14" s="493"/>
      <c r="K14" s="500"/>
      <c r="L14" s="493"/>
      <c r="M14" s="493"/>
      <c r="N14" s="500"/>
      <c r="O14" s="493"/>
      <c r="P14" s="501" t="s">
        <v>486</v>
      </c>
    </row>
    <row r="15" spans="1:20" s="516" customFormat="1" ht="21" customHeight="1">
      <c r="A15" s="502" t="s">
        <v>487</v>
      </c>
      <c r="B15" s="503"/>
      <c r="C15" s="503"/>
      <c r="D15" s="498"/>
      <c r="E15" s="498"/>
      <c r="F15" s="493"/>
      <c r="G15" s="500"/>
      <c r="H15" s="493"/>
      <c r="I15" s="500"/>
      <c r="J15" s="493"/>
      <c r="K15" s="499"/>
      <c r="L15" s="498"/>
      <c r="M15" s="498"/>
      <c r="N15" s="499"/>
      <c r="O15" s="498"/>
      <c r="P15" s="501" t="s">
        <v>396</v>
      </c>
    </row>
    <row r="16" spans="1:20" s="516" customFormat="1" ht="21" customHeight="1">
      <c r="A16" s="493" t="s">
        <v>488</v>
      </c>
      <c r="B16" s="498"/>
      <c r="C16" s="498"/>
      <c r="D16" s="498"/>
      <c r="E16" s="498"/>
      <c r="F16" s="493"/>
      <c r="G16" s="500"/>
      <c r="H16" s="493"/>
      <c r="I16" s="500"/>
      <c r="J16" s="493"/>
      <c r="K16" s="499"/>
      <c r="L16" s="498"/>
      <c r="M16" s="498"/>
      <c r="N16" s="499"/>
      <c r="O16" s="498"/>
      <c r="P16" s="501" t="s">
        <v>489</v>
      </c>
    </row>
    <row r="17" spans="1:16" s="516" customFormat="1" ht="21" customHeight="1">
      <c r="A17" s="493" t="s">
        <v>490</v>
      </c>
      <c r="B17" s="498"/>
      <c r="C17" s="498"/>
      <c r="D17" s="498"/>
      <c r="E17" s="498"/>
      <c r="F17" s="493"/>
      <c r="G17" s="500"/>
      <c r="H17" s="493"/>
      <c r="I17" s="500"/>
      <c r="J17" s="493"/>
      <c r="K17" s="499"/>
      <c r="L17" s="498"/>
      <c r="M17" s="498"/>
      <c r="N17" s="499"/>
      <c r="O17" s="498"/>
      <c r="P17" s="504"/>
    </row>
    <row r="18" spans="1:16" s="516" customFormat="1" ht="21" customHeight="1">
      <c r="A18" s="493" t="s">
        <v>491</v>
      </c>
      <c r="B18" s="498"/>
      <c r="C18" s="498"/>
      <c r="D18" s="498"/>
      <c r="E18" s="498"/>
      <c r="F18" s="493"/>
      <c r="G18" s="500"/>
      <c r="H18" s="493"/>
      <c r="I18" s="500"/>
      <c r="J18" s="493"/>
      <c r="K18" s="499"/>
      <c r="L18" s="498"/>
      <c r="M18" s="498"/>
      <c r="N18" s="499"/>
      <c r="O18" s="498"/>
      <c r="P18" s="493"/>
    </row>
    <row r="19" spans="1:16" s="516" customFormat="1" ht="21" customHeight="1">
      <c r="A19" s="493" t="s">
        <v>492</v>
      </c>
      <c r="B19" s="498"/>
      <c r="C19" s="498"/>
      <c r="D19" s="498"/>
      <c r="E19" s="498"/>
      <c r="F19" s="493"/>
      <c r="G19" s="500"/>
      <c r="H19" s="493"/>
      <c r="I19" s="500"/>
      <c r="J19" s="493"/>
      <c r="K19" s="499"/>
      <c r="L19" s="498"/>
      <c r="M19" s="498"/>
      <c r="N19" s="499"/>
      <c r="O19" s="498"/>
      <c r="P19" s="493"/>
    </row>
    <row r="20" spans="1:16" s="516" customFormat="1" ht="21" customHeight="1">
      <c r="A20" s="493" t="s">
        <v>493</v>
      </c>
      <c r="B20" s="498"/>
      <c r="C20" s="498"/>
      <c r="D20" s="498"/>
      <c r="E20" s="498"/>
      <c r="F20" s="493"/>
      <c r="G20" s="500"/>
      <c r="H20" s="493"/>
      <c r="I20" s="500"/>
      <c r="J20" s="493"/>
      <c r="K20" s="499"/>
      <c r="L20" s="498"/>
      <c r="M20" s="498"/>
      <c r="N20" s="499"/>
      <c r="O20" s="498"/>
      <c r="P20" s="493"/>
    </row>
    <row r="21" spans="1:16" s="516" customFormat="1" ht="21" customHeight="1">
      <c r="A21" s="493" t="s">
        <v>494</v>
      </c>
      <c r="B21" s="498"/>
      <c r="C21" s="498"/>
      <c r="D21" s="498"/>
      <c r="E21" s="498"/>
      <c r="F21" s="493"/>
      <c r="G21" s="500"/>
      <c r="H21" s="493"/>
      <c r="I21" s="500"/>
      <c r="J21" s="493"/>
      <c r="K21" s="499"/>
      <c r="L21" s="498"/>
      <c r="M21" s="498"/>
      <c r="N21" s="499"/>
      <c r="O21" s="498"/>
      <c r="P21" s="493"/>
    </row>
    <row r="22" spans="1:16" s="516" customFormat="1" ht="21" customHeight="1">
      <c r="A22" s="493" t="s">
        <v>495</v>
      </c>
      <c r="B22" s="498"/>
      <c r="C22" s="498"/>
      <c r="D22" s="498"/>
      <c r="E22" s="498"/>
      <c r="F22" s="493"/>
      <c r="G22" s="500"/>
      <c r="H22" s="493"/>
      <c r="I22" s="500"/>
      <c r="J22" s="493"/>
      <c r="K22" s="499"/>
      <c r="L22" s="498"/>
      <c r="M22" s="498"/>
      <c r="N22" s="499"/>
      <c r="O22" s="498"/>
      <c r="P22" s="493"/>
    </row>
    <row r="23" spans="1:16" s="516" customFormat="1" ht="21" customHeight="1">
      <c r="A23" s="493" t="s">
        <v>496</v>
      </c>
      <c r="B23" s="498"/>
      <c r="C23" s="498"/>
      <c r="D23" s="498"/>
      <c r="E23" s="498"/>
      <c r="F23" s="493"/>
      <c r="G23" s="500"/>
      <c r="H23" s="493"/>
      <c r="I23" s="500"/>
      <c r="J23" s="493"/>
      <c r="K23" s="499"/>
      <c r="L23" s="498"/>
      <c r="M23" s="498"/>
      <c r="N23" s="499"/>
      <c r="O23" s="498"/>
      <c r="P23" s="493"/>
    </row>
    <row r="24" spans="1:16" ht="19.5" customHeight="1">
      <c r="A24" s="509" t="s">
        <v>497</v>
      </c>
      <c r="B24" s="509"/>
      <c r="C24" s="509"/>
      <c r="D24" s="509"/>
      <c r="E24" s="509"/>
      <c r="F24" s="509"/>
      <c r="G24" s="510"/>
      <c r="H24" s="509"/>
      <c r="I24" s="510"/>
      <c r="J24" s="509"/>
      <c r="K24" s="510"/>
      <c r="L24" s="509"/>
      <c r="M24" s="509"/>
      <c r="N24" s="510"/>
      <c r="O24" s="509"/>
      <c r="P24" s="509"/>
    </row>
    <row r="25" spans="1:16" ht="9" customHeight="1"/>
    <row r="26" spans="1:16">
      <c r="A26" s="517" t="s">
        <v>142</v>
      </c>
      <c r="B26" s="516" t="s">
        <v>459</v>
      </c>
      <c r="C26" s="516"/>
    </row>
    <row r="27" spans="1:16">
      <c r="A27" s="516"/>
      <c r="B27" s="516" t="s">
        <v>501</v>
      </c>
      <c r="C27" s="516"/>
    </row>
    <row r="28" spans="1:16">
      <c r="A28" s="516"/>
      <c r="B28" s="516" t="s">
        <v>460</v>
      </c>
      <c r="C28" s="516"/>
    </row>
    <row r="29" spans="1:16">
      <c r="A29" s="516"/>
      <c r="B29" s="516" t="s">
        <v>461</v>
      </c>
      <c r="C29" s="516"/>
    </row>
    <row r="30" spans="1:16">
      <c r="A30" s="516"/>
      <c r="B30" s="516" t="s">
        <v>462</v>
      </c>
      <c r="C30" s="516"/>
    </row>
    <row r="31" spans="1:16">
      <c r="A31" s="516"/>
      <c r="B31" s="516" t="s">
        <v>502</v>
      </c>
      <c r="C31" s="516"/>
    </row>
    <row r="32" spans="1:16">
      <c r="A32" s="516"/>
      <c r="B32" s="516"/>
      <c r="C32" s="516"/>
    </row>
    <row r="33" spans="1:3">
      <c r="A33" s="516"/>
      <c r="B33" s="516"/>
      <c r="C33" s="516"/>
    </row>
    <row r="3198" spans="1:1">
      <c r="A3198" s="442"/>
    </row>
    <row r="3199" spans="1:1">
      <c r="A3199" s="442"/>
    </row>
    <row r="3200" spans="1:1">
      <c r="A3200" s="442"/>
    </row>
    <row r="3201" spans="1:1">
      <c r="A3201" s="442"/>
    </row>
    <row r="3202" spans="1:1">
      <c r="A3202" s="442"/>
    </row>
    <row r="3203" spans="1:1">
      <c r="A3203" s="442"/>
    </row>
    <row r="3204" spans="1:1">
      <c r="A3204" s="442"/>
    </row>
    <row r="3205" spans="1:1">
      <c r="A3205" s="442"/>
    </row>
    <row r="3206" spans="1:1">
      <c r="A3206" s="442"/>
    </row>
    <row r="3207" spans="1:1">
      <c r="A3207" s="442"/>
    </row>
    <row r="3208" spans="1:1">
      <c r="A3208" s="442"/>
    </row>
    <row r="3209" spans="1:1">
      <c r="A3209" s="442"/>
    </row>
    <row r="3210" spans="1:1">
      <c r="A3210" s="442"/>
    </row>
    <row r="3211" spans="1:1">
      <c r="A3211" s="442"/>
    </row>
    <row r="3212" spans="1:1">
      <c r="A3212" s="442"/>
    </row>
    <row r="3213" spans="1:1">
      <c r="A3213" s="442"/>
    </row>
    <row r="3214" spans="1:1">
      <c r="A3214" s="442"/>
    </row>
    <row r="3215" spans="1:1">
      <c r="A3215" s="442"/>
    </row>
    <row r="3216" spans="1:1">
      <c r="A3216" s="442"/>
    </row>
    <row r="3217" spans="1:1">
      <c r="A3217" s="442"/>
    </row>
    <row r="3218" spans="1:1">
      <c r="A3218" s="442"/>
    </row>
    <row r="3219" spans="1:1">
      <c r="A3219" s="442"/>
    </row>
    <row r="3220" spans="1:1">
      <c r="A3220" s="442"/>
    </row>
    <row r="3221" spans="1:1">
      <c r="A3221" s="442"/>
    </row>
    <row r="3222" spans="1:1">
      <c r="A3222" s="442"/>
    </row>
    <row r="3223" spans="1:1">
      <c r="A3223" s="442"/>
    </row>
    <row r="3224" spans="1:1">
      <c r="A3224" s="442"/>
    </row>
    <row r="3225" spans="1:1">
      <c r="A3225" s="442"/>
    </row>
    <row r="3226" spans="1:1">
      <c r="A3226" s="442"/>
    </row>
    <row r="3227" spans="1:1">
      <c r="A3227" s="442"/>
    </row>
    <row r="3228" spans="1:1">
      <c r="A3228" s="442"/>
    </row>
    <row r="3229" spans="1:1">
      <c r="A3229" s="442"/>
    </row>
    <row r="3230" spans="1:1">
      <c r="A3230" s="442"/>
    </row>
    <row r="3231" spans="1:1">
      <c r="A3231" s="442"/>
    </row>
    <row r="3232" spans="1:1">
      <c r="A3232" s="442"/>
    </row>
    <row r="3233" spans="1:1">
      <c r="A3233" s="442"/>
    </row>
    <row r="3234" spans="1:1">
      <c r="A3234" s="442"/>
    </row>
    <row r="3235" spans="1:1">
      <c r="A3235" s="442"/>
    </row>
    <row r="3236" spans="1:1">
      <c r="A3236" s="442"/>
    </row>
    <row r="3237" spans="1:1">
      <c r="A3237" s="442"/>
    </row>
    <row r="3238" spans="1:1">
      <c r="A3238" s="442"/>
    </row>
    <row r="3239" spans="1:1">
      <c r="A3239" s="442"/>
    </row>
    <row r="3240" spans="1:1">
      <c r="A3240" s="442"/>
    </row>
    <row r="3241" spans="1:1">
      <c r="A3241" s="442"/>
    </row>
    <row r="3242" spans="1:1">
      <c r="A3242" s="442"/>
    </row>
    <row r="3243" spans="1:1">
      <c r="A3243" s="442"/>
    </row>
    <row r="3244" spans="1:1">
      <c r="A3244" s="442"/>
    </row>
    <row r="3245" spans="1:1">
      <c r="A3245" s="442"/>
    </row>
    <row r="3246" spans="1:1">
      <c r="A3246" s="442"/>
    </row>
    <row r="3247" spans="1:1">
      <c r="A3247" s="442"/>
    </row>
    <row r="3248" spans="1:1">
      <c r="A3248" s="442"/>
    </row>
    <row r="3249" spans="1:1">
      <c r="A3249" s="442"/>
    </row>
    <row r="3250" spans="1:1">
      <c r="A3250" s="442"/>
    </row>
    <row r="4962" spans="2:2">
      <c r="B4962" s="439" t="s">
        <v>458</v>
      </c>
    </row>
    <row r="4963" spans="2:2">
      <c r="B4963" s="439" t="s">
        <v>458</v>
      </c>
    </row>
    <row r="4964" spans="2:2">
      <c r="B4964" s="439" t="s">
        <v>458</v>
      </c>
    </row>
    <row r="4965" spans="2:2">
      <c r="B4965" s="439" t="s">
        <v>458</v>
      </c>
    </row>
  </sheetData>
  <mergeCells count="19">
    <mergeCell ref="A1:P1"/>
    <mergeCell ref="A4:A7"/>
    <mergeCell ref="B4:C4"/>
    <mergeCell ref="D4:E4"/>
    <mergeCell ref="F4:O4"/>
    <mergeCell ref="P4:P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M5"/>
    <mergeCell ref="N5:O6"/>
    <mergeCell ref="L6:M6"/>
  </mergeCells>
  <dataValidations disablePrompts="1" count="1">
    <dataValidation type="decimal" allowBlank="1" showInputMessage="1" showErrorMessage="1" errorTitle="เตือน" error="ใส่ได้เฉพาะตัวเลขเท่านั้น" sqref="P9 K9:M9 J10:J17 E8:F8 E9 G9:I9 N10:N16" xr:uid="{00000000-0002-0000-0700-000000000000}">
      <formula1>0</formula1>
      <formula2>999999999999</formula2>
    </dataValidation>
  </dataValidations>
  <printOptions horizontalCentered="1"/>
  <pageMargins left="0.35433070866141736" right="0.35433070866141736" top="0.71875" bottom="0.57499999999999996" header="0.39370078740157483" footer="0.51181102362204722"/>
  <pageSetup paperSize="9" scale="69" fitToHeight="0" orientation="landscape" r:id="rId1"/>
  <headerFooter alignWithMargins="0">
    <oddHeader>&amp;R&amp;"TH SarabunPSK,Bold"&amp;18Fm_คำขอ_502_4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รายละเอียด</vt:lpstr>
      <vt:lpstr>สรุปแผน502_1</vt:lpstr>
      <vt:lpstr>ใบขวาง 502_2</vt:lpstr>
      <vt:lpstr>แบบ ก.12-ชุดกรรมาธิการ502_3</vt:lpstr>
      <vt:lpstr>ชุดอนุ-แบบ1 502_4</vt:lpstr>
      <vt:lpstr>ขุดอนุฯ-แบบ2=ก12แทรคอลัมภ์A</vt:lpstr>
      <vt:lpstr>สรุปตปท</vt:lpstr>
      <vt:lpstr>ตปท</vt:lpstr>
      <vt:lpstr>ตปท!Print_Area</vt:lpstr>
      <vt:lpstr>'แบบ ก.12-ชุดกรรมาธิการ502_3'!Print_Area</vt:lpstr>
      <vt:lpstr>'ใบขวาง 502_2'!Print_Area</vt:lpstr>
      <vt:lpstr>สรุปตปท!Print_Area</vt:lpstr>
      <vt:lpstr>ตปท!Print_Titles</vt:lpstr>
      <vt:lpstr>'แบบ ก.12-ชุดกรรมาธิการ502_3'!Print_Titles</vt:lpstr>
      <vt:lpstr>รายละเอียด!Print_Titles</vt:lpstr>
      <vt:lpstr>สรุปแผน502_1!Print_Titles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2012-03-29T14:12:34Z</cp:lastPrinted>
  <dcterms:created xsi:type="dcterms:W3CDTF">2006-09-13T11:32:04Z</dcterms:created>
  <dcterms:modified xsi:type="dcterms:W3CDTF">2024-11-12T01:58:27Z</dcterms:modified>
</cp:coreProperties>
</file>