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ต้นทุนปี63 ksb1\ทำต้นทุนต่อหน่วยของภา\ตาราางที่สมบูรณ์ส่งกรมบัญชีกลาง\"/>
    </mc:Choice>
  </mc:AlternateContent>
  <bookViews>
    <workbookView xWindow="0" yWindow="0" windowWidth="20490" windowHeight="7680" activeTab="11"/>
  </bookViews>
  <sheets>
    <sheet name="ตารางที่ 7" sheetId="1" r:id="rId1"/>
    <sheet name="วิเคราะห์ตาราง7" sheetId="2" r:id="rId2"/>
    <sheet name="ตารางที่8" sheetId="3" r:id="rId3"/>
    <sheet name="วิเคราะห์ตาราง8" sheetId="4" r:id="rId4"/>
    <sheet name="ตารางที่9" sheetId="5" r:id="rId5"/>
    <sheet name="วิเคราะห์ตาราง9" sheetId="6" r:id="rId6"/>
    <sheet name="ตาราง10" sheetId="7" r:id="rId7"/>
    <sheet name="วิเคราะห์ตาราง10" sheetId="8" r:id="rId8"/>
    <sheet name="ตาราง11" sheetId="9" r:id="rId9"/>
    <sheet name="วิเคราะห์ตาราง11" sheetId="11" r:id="rId10"/>
    <sheet name="ตาราง12" sheetId="10" r:id="rId11"/>
    <sheet name="รายงานสรุปผลปี62" sheetId="12" r:id="rId12"/>
  </sheets>
  <externalReferences>
    <externalReference r:id="rId1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0" l="1"/>
  <c r="I8" i="10" s="1"/>
  <c r="E8" i="10"/>
  <c r="H8" i="10" s="1"/>
  <c r="C8" i="10"/>
  <c r="B8" i="10"/>
  <c r="I7" i="10"/>
  <c r="H7" i="10"/>
  <c r="G7" i="10"/>
  <c r="J7" i="10" s="1"/>
  <c r="D7" i="10"/>
  <c r="I6" i="10"/>
  <c r="H6" i="10"/>
  <c r="G6" i="10"/>
  <c r="J6" i="10" s="1"/>
  <c r="D6" i="10"/>
  <c r="D8" i="10" s="1"/>
  <c r="I5" i="10"/>
  <c r="H5" i="10"/>
  <c r="G5" i="10"/>
  <c r="G8" i="10" s="1"/>
  <c r="D5" i="10"/>
  <c r="V52" i="9"/>
  <c r="T52" i="9"/>
  <c r="S52" i="9"/>
  <c r="Q52" i="9"/>
  <c r="P52" i="9"/>
  <c r="O52" i="9"/>
  <c r="N52" i="9"/>
  <c r="K52" i="9"/>
  <c r="F52" i="9"/>
  <c r="E52" i="9"/>
  <c r="U51" i="9"/>
  <c r="R51" i="9"/>
  <c r="J51" i="9"/>
  <c r="L51" i="9" s="1"/>
  <c r="G51" i="9"/>
  <c r="Y51" i="9" s="1"/>
  <c r="W50" i="9"/>
  <c r="X50" i="9" s="1"/>
  <c r="R50" i="9"/>
  <c r="L50" i="9"/>
  <c r="C50" i="9"/>
  <c r="G50" i="9" s="1"/>
  <c r="Y50" i="9" s="1"/>
  <c r="W49" i="9"/>
  <c r="R49" i="9"/>
  <c r="L49" i="9"/>
  <c r="G49" i="9"/>
  <c r="W48" i="9"/>
  <c r="R48" i="9"/>
  <c r="J48" i="9"/>
  <c r="L48" i="9" s="1"/>
  <c r="D48" i="9"/>
  <c r="W47" i="9"/>
  <c r="Z47" i="9" s="1"/>
  <c r="R47" i="9"/>
  <c r="J47" i="9"/>
  <c r="L47" i="9" s="1"/>
  <c r="G47" i="9"/>
  <c r="M47" i="9" s="1"/>
  <c r="W46" i="9"/>
  <c r="R46" i="9"/>
  <c r="Y46" i="9" s="1"/>
  <c r="L46" i="9"/>
  <c r="Z46" i="9" s="1"/>
  <c r="G46" i="9"/>
  <c r="W45" i="9"/>
  <c r="R45" i="9"/>
  <c r="J45" i="9"/>
  <c r="L45" i="9" s="1"/>
  <c r="D45" i="9"/>
  <c r="G45" i="9" s="1"/>
  <c r="W44" i="9"/>
  <c r="R44" i="9"/>
  <c r="J44" i="9"/>
  <c r="L44" i="9" s="1"/>
  <c r="D44" i="9"/>
  <c r="G44" i="9" s="1"/>
  <c r="W43" i="9"/>
  <c r="R43" i="9"/>
  <c r="J43" i="9"/>
  <c r="L43" i="9" s="1"/>
  <c r="D43" i="9"/>
  <c r="G43" i="9" s="1"/>
  <c r="W42" i="9"/>
  <c r="R42" i="9"/>
  <c r="J42" i="9"/>
  <c r="L42" i="9" s="1"/>
  <c r="G42" i="9"/>
  <c r="D42" i="9"/>
  <c r="W41" i="9"/>
  <c r="R41" i="9"/>
  <c r="J41" i="9"/>
  <c r="L41" i="9" s="1"/>
  <c r="D41" i="9"/>
  <c r="G41" i="9" s="1"/>
  <c r="M41" i="9" s="1"/>
  <c r="U40" i="9"/>
  <c r="R40" i="9"/>
  <c r="J40" i="9"/>
  <c r="L40" i="9" s="1"/>
  <c r="D40" i="9"/>
  <c r="R39" i="9"/>
  <c r="W38" i="9"/>
  <c r="R38" i="9"/>
  <c r="Y38" i="9" s="1"/>
  <c r="L38" i="9"/>
  <c r="M38" i="9" s="1"/>
  <c r="G38" i="9"/>
  <c r="W37" i="9"/>
  <c r="R37" i="9"/>
  <c r="L37" i="9"/>
  <c r="G37" i="9"/>
  <c r="W36" i="9"/>
  <c r="R36" i="9"/>
  <c r="L36" i="9"/>
  <c r="G36" i="9"/>
  <c r="W35" i="9"/>
  <c r="R35" i="9"/>
  <c r="J35" i="9"/>
  <c r="I35" i="9"/>
  <c r="D35" i="9"/>
  <c r="W34" i="9"/>
  <c r="R34" i="9"/>
  <c r="L34" i="9"/>
  <c r="G34" i="9"/>
  <c r="W33" i="9"/>
  <c r="R33" i="9"/>
  <c r="J33" i="9"/>
  <c r="L33" i="9" s="1"/>
  <c r="G33" i="9"/>
  <c r="W32" i="9"/>
  <c r="R32" i="9"/>
  <c r="L32" i="9"/>
  <c r="G32" i="9"/>
  <c r="W31" i="9"/>
  <c r="R31" i="9"/>
  <c r="L31" i="9"/>
  <c r="G31" i="9"/>
  <c r="W30" i="9"/>
  <c r="R30" i="9"/>
  <c r="J30" i="9"/>
  <c r="I30" i="9"/>
  <c r="H30" i="9"/>
  <c r="D30" i="9"/>
  <c r="C30" i="9"/>
  <c r="W29" i="9"/>
  <c r="R29" i="9"/>
  <c r="X29" i="9" s="1"/>
  <c r="J29" i="9"/>
  <c r="I29" i="9"/>
  <c r="H29" i="9"/>
  <c r="L29" i="9" s="1"/>
  <c r="Z29" i="9" s="1"/>
  <c r="D29" i="9"/>
  <c r="C29" i="9"/>
  <c r="G29" i="9" s="1"/>
  <c r="Y29" i="9" s="1"/>
  <c r="W28" i="9"/>
  <c r="R28" i="9"/>
  <c r="L28" i="9"/>
  <c r="G28" i="9"/>
  <c r="W27" i="9"/>
  <c r="R27" i="9"/>
  <c r="L27" i="9"/>
  <c r="G27" i="9"/>
  <c r="W26" i="9"/>
  <c r="R26" i="9"/>
  <c r="J26" i="9"/>
  <c r="L26" i="9" s="1"/>
  <c r="I26" i="9"/>
  <c r="D26" i="9"/>
  <c r="W25" i="9"/>
  <c r="R25" i="9"/>
  <c r="Y25" i="9" s="1"/>
  <c r="L25" i="9"/>
  <c r="G25" i="9"/>
  <c r="W24" i="9"/>
  <c r="R24" i="9"/>
  <c r="L24" i="9"/>
  <c r="G24" i="9"/>
  <c r="M24" i="9" s="1"/>
  <c r="U23" i="9"/>
  <c r="R23" i="9"/>
  <c r="Y23" i="9" s="1"/>
  <c r="L23" i="9"/>
  <c r="G23" i="9"/>
  <c r="M23" i="9" s="1"/>
  <c r="W22" i="9"/>
  <c r="X22" i="9" s="1"/>
  <c r="R22" i="9"/>
  <c r="J22" i="9"/>
  <c r="L22" i="9" s="1"/>
  <c r="G22" i="9"/>
  <c r="Y22" i="9" s="1"/>
  <c r="W21" i="9"/>
  <c r="Z21" i="9" s="1"/>
  <c r="R21" i="9"/>
  <c r="J21" i="9"/>
  <c r="L21" i="9" s="1"/>
  <c r="G21" i="9"/>
  <c r="W20" i="9"/>
  <c r="R20" i="9"/>
  <c r="Y20" i="9" s="1"/>
  <c r="L20" i="9"/>
  <c r="M20" i="9" s="1"/>
  <c r="G20" i="9"/>
  <c r="W19" i="9"/>
  <c r="R19" i="9"/>
  <c r="Y19" i="9" s="1"/>
  <c r="L19" i="9"/>
  <c r="G19" i="9"/>
  <c r="W18" i="9"/>
  <c r="R18" i="9"/>
  <c r="J18" i="9"/>
  <c r="L18" i="9" s="1"/>
  <c r="D18" i="9"/>
  <c r="G18" i="9" s="1"/>
  <c r="W17" i="9"/>
  <c r="Z17" i="9" s="1"/>
  <c r="R17" i="9"/>
  <c r="L17" i="9"/>
  <c r="G17" i="9"/>
  <c r="M17" i="9" s="1"/>
  <c r="W16" i="9"/>
  <c r="R16" i="9"/>
  <c r="J16" i="9"/>
  <c r="D16" i="9"/>
  <c r="G16" i="9" s="1"/>
  <c r="X15" i="9"/>
  <c r="W15" i="9"/>
  <c r="R15" i="9"/>
  <c r="L15" i="9"/>
  <c r="G15" i="9"/>
  <c r="D15" i="9"/>
  <c r="W14" i="9"/>
  <c r="R14" i="9"/>
  <c r="J14" i="9"/>
  <c r="L14" i="9" s="1"/>
  <c r="Z14" i="9" s="1"/>
  <c r="D14" i="9"/>
  <c r="W13" i="9"/>
  <c r="R13" i="9"/>
  <c r="J13" i="9"/>
  <c r="L13" i="9" s="1"/>
  <c r="Z13" i="9" s="1"/>
  <c r="D13" i="9"/>
  <c r="G13" i="9" s="1"/>
  <c r="W12" i="9"/>
  <c r="R12" i="9"/>
  <c r="Y12" i="9" s="1"/>
  <c r="J12" i="9"/>
  <c r="L12" i="9" s="1"/>
  <c r="G12" i="9"/>
  <c r="U11" i="9"/>
  <c r="R11" i="9"/>
  <c r="J11" i="9"/>
  <c r="L11" i="9" s="1"/>
  <c r="D11" i="9"/>
  <c r="W10" i="9"/>
  <c r="R10" i="9"/>
  <c r="J10" i="9"/>
  <c r="L10" i="9" s="1"/>
  <c r="D10" i="9"/>
  <c r="U9" i="9"/>
  <c r="U52" i="9" s="1"/>
  <c r="R9" i="9"/>
  <c r="L9" i="9"/>
  <c r="G9" i="9"/>
  <c r="W8" i="9"/>
  <c r="R8" i="9"/>
  <c r="Y8" i="9" s="1"/>
  <c r="L8" i="9"/>
  <c r="G8" i="9"/>
  <c r="S25" i="7"/>
  <c r="L25" i="7"/>
  <c r="L33" i="7" s="1"/>
  <c r="K25" i="7"/>
  <c r="K33" i="7" s="1"/>
  <c r="E25" i="7"/>
  <c r="E31" i="7" s="1"/>
  <c r="C25" i="7"/>
  <c r="C31" i="7" s="1"/>
  <c r="B25" i="7"/>
  <c r="B31" i="7" s="1"/>
  <c r="S24" i="7"/>
  <c r="F24" i="7"/>
  <c r="S23" i="7"/>
  <c r="N23" i="7"/>
  <c r="F23" i="7"/>
  <c r="I23" i="7" s="1"/>
  <c r="S22" i="7"/>
  <c r="N22" i="7"/>
  <c r="F22" i="7"/>
  <c r="I22" i="7" s="1"/>
  <c r="S21" i="7"/>
  <c r="N21" i="7"/>
  <c r="Q21" i="7" s="1"/>
  <c r="T21" i="7" s="1"/>
  <c r="F21" i="7"/>
  <c r="I21" i="7" s="1"/>
  <c r="S20" i="7"/>
  <c r="N20" i="7"/>
  <c r="Q20" i="7" s="1"/>
  <c r="F20" i="7"/>
  <c r="I20" i="7" s="1"/>
  <c r="S19" i="7"/>
  <c r="N19" i="7"/>
  <c r="F19" i="7"/>
  <c r="I19" i="7" s="1"/>
  <c r="S18" i="7"/>
  <c r="N18" i="7"/>
  <c r="F18" i="7"/>
  <c r="I18" i="7" s="1"/>
  <c r="S17" i="7"/>
  <c r="N17" i="7"/>
  <c r="F17" i="7"/>
  <c r="I17" i="7" s="1"/>
  <c r="S16" i="7"/>
  <c r="F16" i="7"/>
  <c r="R16" i="7" s="1"/>
  <c r="S15" i="7"/>
  <c r="F15" i="7"/>
  <c r="I15" i="7" s="1"/>
  <c r="S14" i="7"/>
  <c r="N14" i="7"/>
  <c r="F14" i="7"/>
  <c r="I14" i="7" s="1"/>
  <c r="S13" i="7"/>
  <c r="N13" i="7"/>
  <c r="F13" i="7"/>
  <c r="I13" i="7" s="1"/>
  <c r="S12" i="7"/>
  <c r="N12" i="7"/>
  <c r="Q12" i="7" s="1"/>
  <c r="F12" i="7"/>
  <c r="S11" i="7"/>
  <c r="N11" i="7"/>
  <c r="Q11" i="7" s="1"/>
  <c r="T11" i="7" s="1"/>
  <c r="F11" i="7"/>
  <c r="I11" i="7" s="1"/>
  <c r="S10" i="7"/>
  <c r="N10" i="7"/>
  <c r="F10" i="7"/>
  <c r="I10" i="7" s="1"/>
  <c r="S9" i="7"/>
  <c r="N9" i="7"/>
  <c r="F9" i="7"/>
  <c r="I9" i="7" s="1"/>
  <c r="S8" i="7"/>
  <c r="N8" i="7"/>
  <c r="Q8" i="7" s="1"/>
  <c r="T8" i="7" s="1"/>
  <c r="F8" i="7"/>
  <c r="I8" i="7" s="1"/>
  <c r="S7" i="7"/>
  <c r="N7" i="7"/>
  <c r="Q7" i="7" s="1"/>
  <c r="F7" i="7"/>
  <c r="S6" i="7"/>
  <c r="N6" i="7"/>
  <c r="F6" i="7"/>
  <c r="F25" i="7" s="1"/>
  <c r="L34" i="5"/>
  <c r="L41" i="5" s="1"/>
  <c r="E34" i="5"/>
  <c r="E41" i="5" s="1"/>
  <c r="C34" i="5"/>
  <c r="C41" i="5" s="1"/>
  <c r="S33" i="5"/>
  <c r="F33" i="5"/>
  <c r="S32" i="5"/>
  <c r="N32" i="5"/>
  <c r="R32" i="5" s="1"/>
  <c r="F32" i="5"/>
  <c r="I32" i="5" s="1"/>
  <c r="S31" i="5"/>
  <c r="N31" i="5"/>
  <c r="Q31" i="5" s="1"/>
  <c r="F31" i="5"/>
  <c r="I31" i="5" s="1"/>
  <c r="S30" i="5"/>
  <c r="N30" i="5"/>
  <c r="Q30" i="5" s="1"/>
  <c r="F30" i="5"/>
  <c r="R30" i="5" s="1"/>
  <c r="S29" i="5"/>
  <c r="N29" i="5"/>
  <c r="Q29" i="5" s="1"/>
  <c r="F29" i="5"/>
  <c r="I29" i="5" s="1"/>
  <c r="S28" i="5"/>
  <c r="N28" i="5"/>
  <c r="F28" i="5"/>
  <c r="I28" i="5" s="1"/>
  <c r="S27" i="5"/>
  <c r="N27" i="5"/>
  <c r="Q27" i="5" s="1"/>
  <c r="F27" i="5"/>
  <c r="I27" i="5" s="1"/>
  <c r="S26" i="5"/>
  <c r="N26" i="5"/>
  <c r="F26" i="5"/>
  <c r="I26" i="5" s="1"/>
  <c r="S25" i="5"/>
  <c r="N25" i="5"/>
  <c r="R25" i="5" s="1"/>
  <c r="F25" i="5"/>
  <c r="I25" i="5" s="1"/>
  <c r="S24" i="5"/>
  <c r="N24" i="5"/>
  <c r="Q24" i="5" s="1"/>
  <c r="F24" i="5"/>
  <c r="I24" i="5" s="1"/>
  <c r="S23" i="5"/>
  <c r="N23" i="5"/>
  <c r="R23" i="5" s="1"/>
  <c r="F23" i="5"/>
  <c r="I23" i="5" s="1"/>
  <c r="S22" i="5"/>
  <c r="N22" i="5"/>
  <c r="F22" i="5"/>
  <c r="I22" i="5" s="1"/>
  <c r="S21" i="5"/>
  <c r="N21" i="5"/>
  <c r="F21" i="5"/>
  <c r="I21" i="5" s="1"/>
  <c r="S20" i="5"/>
  <c r="N20" i="5"/>
  <c r="Q20" i="5" s="1"/>
  <c r="F20" i="5"/>
  <c r="I20" i="5" s="1"/>
  <c r="S19" i="5"/>
  <c r="N19" i="5"/>
  <c r="Q19" i="5" s="1"/>
  <c r="F19" i="5"/>
  <c r="I19" i="5" s="1"/>
  <c r="S18" i="5"/>
  <c r="N18" i="5"/>
  <c r="F18" i="5"/>
  <c r="I18" i="5" s="1"/>
  <c r="S17" i="5"/>
  <c r="N17" i="5"/>
  <c r="Q17" i="5" s="1"/>
  <c r="F17" i="5"/>
  <c r="I17" i="5" s="1"/>
  <c r="S16" i="5"/>
  <c r="N16" i="5"/>
  <c r="F16" i="5"/>
  <c r="I16" i="5" s="1"/>
  <c r="S15" i="5"/>
  <c r="N15" i="5"/>
  <c r="F15" i="5"/>
  <c r="I15" i="5" s="1"/>
  <c r="S14" i="5"/>
  <c r="N14" i="5"/>
  <c r="F14" i="5"/>
  <c r="I14" i="5" s="1"/>
  <c r="S13" i="5"/>
  <c r="N13" i="5"/>
  <c r="Q13" i="5" s="1"/>
  <c r="F13" i="5"/>
  <c r="S12" i="5"/>
  <c r="N12" i="5"/>
  <c r="I12" i="5"/>
  <c r="F12" i="5"/>
  <c r="S11" i="5"/>
  <c r="N11" i="5"/>
  <c r="Q11" i="5" s="1"/>
  <c r="F11" i="5"/>
  <c r="S10" i="5"/>
  <c r="N10" i="5"/>
  <c r="Q10" i="5" s="1"/>
  <c r="T10" i="5" s="1"/>
  <c r="F10" i="5"/>
  <c r="I10" i="5" s="1"/>
  <c r="S9" i="5"/>
  <c r="N9" i="5"/>
  <c r="R9" i="5" s="1"/>
  <c r="I9" i="5"/>
  <c r="F9" i="5"/>
  <c r="S8" i="5"/>
  <c r="N8" i="5"/>
  <c r="I8" i="5"/>
  <c r="F8" i="5"/>
  <c r="S7" i="5"/>
  <c r="N7" i="5"/>
  <c r="F7" i="5"/>
  <c r="I7" i="5" s="1"/>
  <c r="S6" i="5"/>
  <c r="N6" i="5"/>
  <c r="F6" i="5"/>
  <c r="I6" i="5" s="1"/>
  <c r="S5" i="5"/>
  <c r="N5" i="5"/>
  <c r="F5" i="5"/>
  <c r="N99" i="3"/>
  <c r="S94" i="3"/>
  <c r="E95" i="3"/>
  <c r="E101" i="3" s="1"/>
  <c r="D95" i="3"/>
  <c r="D101" i="3" s="1"/>
  <c r="C95" i="3"/>
  <c r="C101" i="3" s="1"/>
  <c r="S93" i="3"/>
  <c r="F93" i="3"/>
  <c r="R93" i="3" s="1"/>
  <c r="S92" i="3"/>
  <c r="F92" i="3"/>
  <c r="R92" i="3" s="1"/>
  <c r="S91" i="3"/>
  <c r="F91" i="3"/>
  <c r="I91" i="3" s="1"/>
  <c r="T91" i="3" s="1"/>
  <c r="S90" i="3"/>
  <c r="F90" i="3"/>
  <c r="I90" i="3" s="1"/>
  <c r="T90" i="3" s="1"/>
  <c r="S89" i="3"/>
  <c r="F89" i="3"/>
  <c r="R89" i="3" s="1"/>
  <c r="S88" i="3"/>
  <c r="N88" i="3"/>
  <c r="F88" i="3"/>
  <c r="I88" i="3" s="1"/>
  <c r="S87" i="3"/>
  <c r="N87" i="3"/>
  <c r="R87" i="3" s="1"/>
  <c r="S86" i="3"/>
  <c r="N86" i="3"/>
  <c r="R86" i="3" s="1"/>
  <c r="S85" i="3"/>
  <c r="R85" i="3"/>
  <c r="N85" i="3"/>
  <c r="Q85" i="3" s="1"/>
  <c r="T85" i="3" s="1"/>
  <c r="S84" i="3"/>
  <c r="N84" i="3"/>
  <c r="Q84" i="3" s="1"/>
  <c r="F84" i="3"/>
  <c r="S83" i="3"/>
  <c r="N83" i="3"/>
  <c r="Q83" i="3" s="1"/>
  <c r="F83" i="3"/>
  <c r="I83" i="3" s="1"/>
  <c r="S82" i="3"/>
  <c r="N82" i="3"/>
  <c r="F82" i="3"/>
  <c r="I82" i="3" s="1"/>
  <c r="S81" i="3"/>
  <c r="N81" i="3"/>
  <c r="F81" i="3"/>
  <c r="I81" i="3" s="1"/>
  <c r="S80" i="3"/>
  <c r="N80" i="3"/>
  <c r="F80" i="3"/>
  <c r="I80" i="3" s="1"/>
  <c r="S79" i="3"/>
  <c r="N79" i="3"/>
  <c r="Q79" i="3" s="1"/>
  <c r="F79" i="3"/>
  <c r="S78" i="3"/>
  <c r="N78" i="3"/>
  <c r="F78" i="3"/>
  <c r="I78" i="3" s="1"/>
  <c r="S77" i="3"/>
  <c r="N77" i="3"/>
  <c r="F77" i="3"/>
  <c r="I77" i="3" s="1"/>
  <c r="S76" i="3"/>
  <c r="F76" i="3"/>
  <c r="I76" i="3" s="1"/>
  <c r="S75" i="3"/>
  <c r="N75" i="3"/>
  <c r="F75" i="3"/>
  <c r="I75" i="3" s="1"/>
  <c r="S74" i="3"/>
  <c r="N74" i="3"/>
  <c r="Q74" i="3" s="1"/>
  <c r="F74" i="3"/>
  <c r="S73" i="3"/>
  <c r="N73" i="3"/>
  <c r="F73" i="3"/>
  <c r="I73" i="3" s="1"/>
  <c r="S72" i="3"/>
  <c r="N72" i="3"/>
  <c r="Q72" i="3" s="1"/>
  <c r="F72" i="3"/>
  <c r="S71" i="3"/>
  <c r="N71" i="3"/>
  <c r="F71" i="3"/>
  <c r="I71" i="3" s="1"/>
  <c r="S70" i="3"/>
  <c r="N70" i="3"/>
  <c r="F70" i="3"/>
  <c r="I70" i="3" s="1"/>
  <c r="S69" i="3"/>
  <c r="N69" i="3"/>
  <c r="F69" i="3"/>
  <c r="I69" i="3" s="1"/>
  <c r="S68" i="3"/>
  <c r="F68" i="3"/>
  <c r="I68" i="3" s="1"/>
  <c r="S67" i="3"/>
  <c r="N67" i="3"/>
  <c r="F67" i="3"/>
  <c r="I67" i="3" s="1"/>
  <c r="S66" i="3"/>
  <c r="N66" i="3"/>
  <c r="F66" i="3"/>
  <c r="I66" i="3" s="1"/>
  <c r="S65" i="3"/>
  <c r="N65" i="3"/>
  <c r="Q65" i="3" s="1"/>
  <c r="F65" i="3"/>
  <c r="I65" i="3" s="1"/>
  <c r="S64" i="3"/>
  <c r="N64" i="3"/>
  <c r="Q64" i="3" s="1"/>
  <c r="F64" i="3"/>
  <c r="S63" i="3"/>
  <c r="N63" i="3"/>
  <c r="Q63" i="3" s="1"/>
  <c r="F63" i="3"/>
  <c r="S62" i="3"/>
  <c r="N62" i="3"/>
  <c r="F62" i="3"/>
  <c r="I62" i="3" s="1"/>
  <c r="S61" i="3"/>
  <c r="N61" i="3"/>
  <c r="F61" i="3"/>
  <c r="I61" i="3" s="1"/>
  <c r="S60" i="3"/>
  <c r="N60" i="3"/>
  <c r="Q60" i="3" s="1"/>
  <c r="F60" i="3"/>
  <c r="I60" i="3" s="1"/>
  <c r="S59" i="3"/>
  <c r="N59" i="3"/>
  <c r="F59" i="3"/>
  <c r="I59" i="3" s="1"/>
  <c r="S58" i="3"/>
  <c r="N58" i="3"/>
  <c r="F58" i="3"/>
  <c r="I58" i="3" s="1"/>
  <c r="S57" i="3"/>
  <c r="N57" i="3"/>
  <c r="Q57" i="3" s="1"/>
  <c r="F57" i="3"/>
  <c r="S56" i="3"/>
  <c r="N56" i="3"/>
  <c r="Q56" i="3" s="1"/>
  <c r="F56" i="3"/>
  <c r="I56" i="3" s="1"/>
  <c r="S55" i="3"/>
  <c r="Q55" i="3"/>
  <c r="F55" i="3"/>
  <c r="R55" i="3" s="1"/>
  <c r="S54" i="3"/>
  <c r="N54" i="3"/>
  <c r="Q54" i="3" s="1"/>
  <c r="F54" i="3"/>
  <c r="S53" i="3"/>
  <c r="N53" i="3"/>
  <c r="F53" i="3"/>
  <c r="I53" i="3" s="1"/>
  <c r="S52" i="3"/>
  <c r="F52" i="3"/>
  <c r="I52" i="3" s="1"/>
  <c r="S51" i="3"/>
  <c r="N51" i="3"/>
  <c r="Q51" i="3" s="1"/>
  <c r="F51" i="3"/>
  <c r="I51" i="3" s="1"/>
  <c r="S50" i="3"/>
  <c r="N50" i="3"/>
  <c r="Q50" i="3" s="1"/>
  <c r="F50" i="3"/>
  <c r="I50" i="3" s="1"/>
  <c r="S49" i="3"/>
  <c r="F49" i="3"/>
  <c r="I49" i="3" s="1"/>
  <c r="S48" i="3"/>
  <c r="N48" i="3"/>
  <c r="F48" i="3"/>
  <c r="I48" i="3" s="1"/>
  <c r="S47" i="3"/>
  <c r="F47" i="3"/>
  <c r="I47" i="3" s="1"/>
  <c r="S46" i="3"/>
  <c r="N46" i="3"/>
  <c r="F46" i="3"/>
  <c r="I46" i="3" s="1"/>
  <c r="S45" i="3"/>
  <c r="N45" i="3"/>
  <c r="Q45" i="3" s="1"/>
  <c r="F45" i="3"/>
  <c r="I45" i="3" s="1"/>
  <c r="S44" i="3"/>
  <c r="N44" i="3"/>
  <c r="Q44" i="3" s="1"/>
  <c r="F44" i="3"/>
  <c r="I44" i="3" s="1"/>
  <c r="S43" i="3"/>
  <c r="F43" i="3"/>
  <c r="I43" i="3" s="1"/>
  <c r="S42" i="3"/>
  <c r="N42" i="3"/>
  <c r="F42" i="3"/>
  <c r="I42" i="3" s="1"/>
  <c r="S41" i="3"/>
  <c r="N41" i="3"/>
  <c r="Q41" i="3" s="1"/>
  <c r="F41" i="3"/>
  <c r="S40" i="3"/>
  <c r="N40" i="3"/>
  <c r="F40" i="3"/>
  <c r="I40" i="3" s="1"/>
  <c r="S39" i="3"/>
  <c r="N39" i="3"/>
  <c r="Q39" i="3" s="1"/>
  <c r="F39" i="3"/>
  <c r="I39" i="3" s="1"/>
  <c r="S38" i="3"/>
  <c r="N38" i="3"/>
  <c r="F38" i="3"/>
  <c r="I38" i="3" s="1"/>
  <c r="S37" i="3"/>
  <c r="N37" i="3"/>
  <c r="F37" i="3"/>
  <c r="I37" i="3" s="1"/>
  <c r="S36" i="3"/>
  <c r="F36" i="3"/>
  <c r="I36" i="3" s="1"/>
  <c r="S35" i="3"/>
  <c r="N35" i="3"/>
  <c r="F35" i="3"/>
  <c r="I35" i="3" s="1"/>
  <c r="S34" i="3"/>
  <c r="N34" i="3"/>
  <c r="F34" i="3"/>
  <c r="I34" i="3" s="1"/>
  <c r="S33" i="3"/>
  <c r="N33" i="3"/>
  <c r="F33" i="3"/>
  <c r="I33" i="3" s="1"/>
  <c r="S32" i="3"/>
  <c r="N32" i="3"/>
  <c r="F32" i="3"/>
  <c r="I32" i="3" s="1"/>
  <c r="S31" i="3"/>
  <c r="N31" i="3"/>
  <c r="Q31" i="3" s="1"/>
  <c r="F31" i="3"/>
  <c r="I31" i="3" s="1"/>
  <c r="S30" i="3"/>
  <c r="N30" i="3"/>
  <c r="Q30" i="3" s="1"/>
  <c r="F30" i="3"/>
  <c r="I30" i="3" s="1"/>
  <c r="S29" i="3"/>
  <c r="N29" i="3"/>
  <c r="F29" i="3"/>
  <c r="I29" i="3" s="1"/>
  <c r="S28" i="3"/>
  <c r="F28" i="3"/>
  <c r="I28" i="3" s="1"/>
  <c r="S27" i="3"/>
  <c r="N27" i="3"/>
  <c r="Q27" i="3" s="1"/>
  <c r="F27" i="3"/>
  <c r="S26" i="3"/>
  <c r="N26" i="3"/>
  <c r="Q26" i="3" s="1"/>
  <c r="F26" i="3"/>
  <c r="I26" i="3" s="1"/>
  <c r="S25" i="3"/>
  <c r="N25" i="3"/>
  <c r="F25" i="3"/>
  <c r="I25" i="3" s="1"/>
  <c r="S24" i="3"/>
  <c r="N24" i="3"/>
  <c r="F24" i="3"/>
  <c r="I24" i="3" s="1"/>
  <c r="S23" i="3"/>
  <c r="N23" i="3"/>
  <c r="Q23" i="3" s="1"/>
  <c r="F23" i="3"/>
  <c r="I23" i="3" s="1"/>
  <c r="S22" i="3"/>
  <c r="N22" i="3"/>
  <c r="Q22" i="3" s="1"/>
  <c r="F22" i="3"/>
  <c r="S21" i="3"/>
  <c r="F21" i="3"/>
  <c r="I21" i="3" s="1"/>
  <c r="S20" i="3"/>
  <c r="N20" i="3"/>
  <c r="Q20" i="3" s="1"/>
  <c r="F20" i="3"/>
  <c r="I20" i="3" s="1"/>
  <c r="S19" i="3"/>
  <c r="N19" i="3"/>
  <c r="F19" i="3"/>
  <c r="I19" i="3" s="1"/>
  <c r="S18" i="3"/>
  <c r="N18" i="3"/>
  <c r="Q18" i="3" s="1"/>
  <c r="F18" i="3"/>
  <c r="I18" i="3" s="1"/>
  <c r="S17" i="3"/>
  <c r="N17" i="3"/>
  <c r="F17" i="3"/>
  <c r="I17" i="3" s="1"/>
  <c r="S16" i="3"/>
  <c r="N16" i="3"/>
  <c r="F16" i="3"/>
  <c r="I16" i="3" s="1"/>
  <c r="S15" i="3"/>
  <c r="N15" i="3"/>
  <c r="Q15" i="3" s="1"/>
  <c r="F15" i="3"/>
  <c r="I15" i="3" s="1"/>
  <c r="S14" i="3"/>
  <c r="N14" i="3"/>
  <c r="F14" i="3"/>
  <c r="I14" i="3" s="1"/>
  <c r="S13" i="3"/>
  <c r="N13" i="3"/>
  <c r="Q13" i="3" s="1"/>
  <c r="F13" i="3"/>
  <c r="S12" i="3"/>
  <c r="N12" i="3"/>
  <c r="Q12" i="3" s="1"/>
  <c r="S11" i="3"/>
  <c r="N11" i="3"/>
  <c r="Q11" i="3" s="1"/>
  <c r="F11" i="3"/>
  <c r="I11" i="3" s="1"/>
  <c r="S10" i="3"/>
  <c r="N10" i="3"/>
  <c r="F10" i="3"/>
  <c r="I10" i="3" s="1"/>
  <c r="S9" i="3"/>
  <c r="F9" i="3"/>
  <c r="I9" i="3" s="1"/>
  <c r="S8" i="3"/>
  <c r="N8" i="3"/>
  <c r="Q8" i="3" s="1"/>
  <c r="F8" i="3"/>
  <c r="I8" i="3" s="1"/>
  <c r="S7" i="3"/>
  <c r="N7" i="3"/>
  <c r="Q7" i="3" s="1"/>
  <c r="F7" i="3"/>
  <c r="S6" i="3"/>
  <c r="N6" i="3"/>
  <c r="Q6" i="3" s="1"/>
  <c r="F6" i="3"/>
  <c r="I6" i="3" s="1"/>
  <c r="S252" i="1"/>
  <c r="F252" i="1"/>
  <c r="R252" i="1" s="1"/>
  <c r="S251" i="1"/>
  <c r="F251" i="1"/>
  <c r="R251" i="1" s="1"/>
  <c r="S250" i="1"/>
  <c r="F250" i="1"/>
  <c r="R250" i="1" s="1"/>
  <c r="S249" i="1"/>
  <c r="R249" i="1"/>
  <c r="I249" i="1"/>
  <c r="T249" i="1" s="1"/>
  <c r="S248" i="1"/>
  <c r="F248" i="1"/>
  <c r="I248" i="1" s="1"/>
  <c r="T248" i="1" s="1"/>
  <c r="S247" i="1"/>
  <c r="F247" i="1"/>
  <c r="R247" i="1" s="1"/>
  <c r="S246" i="1"/>
  <c r="F246" i="1"/>
  <c r="S245" i="1"/>
  <c r="F245" i="1"/>
  <c r="R245" i="1" s="1"/>
  <c r="S244" i="1"/>
  <c r="N244" i="1"/>
  <c r="Q244" i="1" s="1"/>
  <c r="F244" i="1"/>
  <c r="I244" i="1" s="1"/>
  <c r="S243" i="1"/>
  <c r="N243" i="1"/>
  <c r="Q243" i="1" s="1"/>
  <c r="F243" i="1"/>
  <c r="I243" i="1" s="1"/>
  <c r="S242" i="1"/>
  <c r="N242" i="1"/>
  <c r="Q242" i="1" s="1"/>
  <c r="F242" i="1"/>
  <c r="I242" i="1" s="1"/>
  <c r="S241" i="1"/>
  <c r="N241" i="1"/>
  <c r="S240" i="1"/>
  <c r="F240" i="1"/>
  <c r="I240" i="1" s="1"/>
  <c r="S239" i="1"/>
  <c r="S238" i="1"/>
  <c r="N238" i="1"/>
  <c r="Q238" i="1" s="1"/>
  <c r="F238" i="1"/>
  <c r="I238" i="1" s="1"/>
  <c r="S237" i="1"/>
  <c r="N237" i="1"/>
  <c r="F237" i="1"/>
  <c r="I237" i="1" s="1"/>
  <c r="S236" i="1"/>
  <c r="S235" i="1"/>
  <c r="S234" i="1"/>
  <c r="F234" i="1"/>
  <c r="S233" i="1"/>
  <c r="S232" i="1"/>
  <c r="N232" i="1"/>
  <c r="S231" i="1"/>
  <c r="N231" i="1"/>
  <c r="S230" i="1"/>
  <c r="N230" i="1"/>
  <c r="R230" i="1" s="1"/>
  <c r="S229" i="1"/>
  <c r="N229" i="1"/>
  <c r="Q229" i="1" s="1"/>
  <c r="T229" i="1" s="1"/>
  <c r="S228" i="1"/>
  <c r="S227" i="1"/>
  <c r="N227" i="1"/>
  <c r="Q227" i="1" s="1"/>
  <c r="T227" i="1" s="1"/>
  <c r="S226" i="1"/>
  <c r="N226" i="1"/>
  <c r="R226" i="1" s="1"/>
  <c r="S225" i="1"/>
  <c r="N225" i="1"/>
  <c r="R225" i="1" s="1"/>
  <c r="S224" i="1"/>
  <c r="S223" i="1"/>
  <c r="N223" i="1"/>
  <c r="S222" i="1"/>
  <c r="N222" i="1"/>
  <c r="Q222" i="1" s="1"/>
  <c r="T222" i="1" s="1"/>
  <c r="S221" i="1"/>
  <c r="S220" i="1"/>
  <c r="F220" i="1"/>
  <c r="I220" i="1" s="1"/>
  <c r="T219" i="1"/>
  <c r="S219" i="1"/>
  <c r="R219" i="1"/>
  <c r="S218" i="1"/>
  <c r="N218" i="1"/>
  <c r="R218" i="1" s="1"/>
  <c r="S217" i="1"/>
  <c r="N217" i="1"/>
  <c r="R217" i="1" s="1"/>
  <c r="S216" i="1"/>
  <c r="N216" i="1"/>
  <c r="R216" i="1" s="1"/>
  <c r="S215" i="1"/>
  <c r="N215" i="1"/>
  <c r="F215" i="1"/>
  <c r="I215" i="1" s="1"/>
  <c r="S214" i="1"/>
  <c r="N214" i="1"/>
  <c r="Q214" i="1" s="1"/>
  <c r="F214" i="1"/>
  <c r="I214" i="1" s="1"/>
  <c r="S213" i="1"/>
  <c r="N213" i="1"/>
  <c r="Q213" i="1" s="1"/>
  <c r="F213" i="1"/>
  <c r="S212" i="1"/>
  <c r="F212" i="1"/>
  <c r="I212" i="1" s="1"/>
  <c r="S211" i="1"/>
  <c r="N211" i="1"/>
  <c r="R211" i="1" s="1"/>
  <c r="S210" i="1"/>
  <c r="N210" i="1"/>
  <c r="R210" i="1" s="1"/>
  <c r="S209" i="1"/>
  <c r="F209" i="1"/>
  <c r="I209" i="1" s="1"/>
  <c r="S208" i="1"/>
  <c r="F208" i="1"/>
  <c r="I208" i="1" s="1"/>
  <c r="S207" i="1"/>
  <c r="N207" i="1"/>
  <c r="S206" i="1"/>
  <c r="N206" i="1"/>
  <c r="S205" i="1"/>
  <c r="F205" i="1"/>
  <c r="R205" i="1" s="1"/>
  <c r="S204" i="1"/>
  <c r="N204" i="1"/>
  <c r="F204" i="1"/>
  <c r="I204" i="1" s="1"/>
  <c r="S203" i="1"/>
  <c r="S202" i="1"/>
  <c r="F202" i="1"/>
  <c r="I202" i="1" s="1"/>
  <c r="T202" i="1" s="1"/>
  <c r="S201" i="1"/>
  <c r="F201" i="1"/>
  <c r="R201" i="1" s="1"/>
  <c r="S200" i="1"/>
  <c r="F200" i="1"/>
  <c r="R200" i="1" s="1"/>
  <c r="S199" i="1"/>
  <c r="F199" i="1"/>
  <c r="R199" i="1" s="1"/>
  <c r="S198" i="1"/>
  <c r="N198" i="1"/>
  <c r="Q198" i="1" s="1"/>
  <c r="T198" i="1" s="1"/>
  <c r="S197" i="1"/>
  <c r="F197" i="1"/>
  <c r="R197" i="1" s="1"/>
  <c r="S196" i="1"/>
  <c r="N196" i="1"/>
  <c r="R196" i="1" s="1"/>
  <c r="S195" i="1"/>
  <c r="N195" i="1"/>
  <c r="R195" i="1" s="1"/>
  <c r="S194" i="1"/>
  <c r="N194" i="1"/>
  <c r="Q194" i="1" s="1"/>
  <c r="T194" i="1" s="1"/>
  <c r="S193" i="1"/>
  <c r="N193" i="1"/>
  <c r="R193" i="1" s="1"/>
  <c r="S192" i="1"/>
  <c r="N192" i="1"/>
  <c r="R192" i="1" s="1"/>
  <c r="S191" i="1"/>
  <c r="N191" i="1"/>
  <c r="R191" i="1" s="1"/>
  <c r="S190" i="1"/>
  <c r="N190" i="1"/>
  <c r="Q190" i="1" s="1"/>
  <c r="T190" i="1" s="1"/>
  <c r="S189" i="1"/>
  <c r="N189" i="1"/>
  <c r="R189" i="1" s="1"/>
  <c r="S188" i="1"/>
  <c r="N188" i="1"/>
  <c r="R188" i="1" s="1"/>
  <c r="S187" i="1"/>
  <c r="N187" i="1"/>
  <c r="R187" i="1" s="1"/>
  <c r="S186" i="1"/>
  <c r="N186" i="1"/>
  <c r="Q186" i="1" s="1"/>
  <c r="T186" i="1" s="1"/>
  <c r="S185" i="1"/>
  <c r="N185" i="1"/>
  <c r="R185" i="1" s="1"/>
  <c r="S184" i="1"/>
  <c r="N184" i="1"/>
  <c r="R184" i="1" s="1"/>
  <c r="S183" i="1"/>
  <c r="N183" i="1"/>
  <c r="R183" i="1" s="1"/>
  <c r="S182" i="1"/>
  <c r="N182" i="1"/>
  <c r="Q182" i="1" s="1"/>
  <c r="T182" i="1" s="1"/>
  <c r="S181" i="1"/>
  <c r="N181" i="1"/>
  <c r="R181" i="1" s="1"/>
  <c r="S180" i="1"/>
  <c r="N180" i="1"/>
  <c r="R180" i="1" s="1"/>
  <c r="S179" i="1"/>
  <c r="N179" i="1"/>
  <c r="F179" i="1"/>
  <c r="I179" i="1" s="1"/>
  <c r="S178" i="1"/>
  <c r="N178" i="1"/>
  <c r="Q178" i="1" s="1"/>
  <c r="F178" i="1"/>
  <c r="S177" i="1"/>
  <c r="N177" i="1"/>
  <c r="Q177" i="1" s="1"/>
  <c r="F177" i="1"/>
  <c r="I177" i="1" s="1"/>
  <c r="S176" i="1"/>
  <c r="N176" i="1"/>
  <c r="Q176" i="1" s="1"/>
  <c r="F176" i="1"/>
  <c r="I176" i="1" s="1"/>
  <c r="S175" i="1"/>
  <c r="N175" i="1"/>
  <c r="S174" i="1"/>
  <c r="F174" i="1"/>
  <c r="R174" i="1" s="1"/>
  <c r="S173" i="1"/>
  <c r="S172" i="1"/>
  <c r="N172" i="1"/>
  <c r="Q172" i="1" s="1"/>
  <c r="S171" i="1"/>
  <c r="N171" i="1"/>
  <c r="F171" i="1"/>
  <c r="I171" i="1" s="1"/>
  <c r="S170" i="1"/>
  <c r="N170" i="1"/>
  <c r="F170" i="1"/>
  <c r="I170" i="1" s="1"/>
  <c r="S169" i="1"/>
  <c r="F169" i="1"/>
  <c r="S168" i="1"/>
  <c r="F168" i="1"/>
  <c r="R168" i="1" s="1"/>
  <c r="S167" i="1"/>
  <c r="F167" i="1"/>
  <c r="R167" i="1" s="1"/>
  <c r="S166" i="1"/>
  <c r="F166" i="1"/>
  <c r="I166" i="1" s="1"/>
  <c r="T166" i="1" s="1"/>
  <c r="S165" i="1"/>
  <c r="N165" i="1"/>
  <c r="Q165" i="1" s="1"/>
  <c r="T165" i="1" s="1"/>
  <c r="S164" i="1"/>
  <c r="N164" i="1"/>
  <c r="R164" i="1" s="1"/>
  <c r="S163" i="1"/>
  <c r="N163" i="1"/>
  <c r="R163" i="1" s="1"/>
  <c r="S162" i="1"/>
  <c r="N162" i="1"/>
  <c r="R162" i="1" s="1"/>
  <c r="S161" i="1"/>
  <c r="F161" i="1"/>
  <c r="S160" i="1"/>
  <c r="N160" i="1"/>
  <c r="R160" i="1" s="1"/>
  <c r="S159" i="1"/>
  <c r="N159" i="1"/>
  <c r="S158" i="1"/>
  <c r="N158" i="1"/>
  <c r="F158" i="1"/>
  <c r="I158" i="1" s="1"/>
  <c r="S157" i="1"/>
  <c r="F157" i="1"/>
  <c r="S156" i="1"/>
  <c r="S155" i="1"/>
  <c r="F155" i="1"/>
  <c r="R155" i="1" s="1"/>
  <c r="S154" i="1"/>
  <c r="F154" i="1"/>
  <c r="S153" i="1"/>
  <c r="N153" i="1"/>
  <c r="R153" i="1" s="1"/>
  <c r="S152" i="1"/>
  <c r="S151" i="1"/>
  <c r="N151" i="1"/>
  <c r="S150" i="1"/>
  <c r="N150" i="1"/>
  <c r="S149" i="1"/>
  <c r="N149" i="1"/>
  <c r="R149" i="1" s="1"/>
  <c r="S148" i="1"/>
  <c r="N148" i="1"/>
  <c r="S147" i="1"/>
  <c r="S146" i="1"/>
  <c r="F146" i="1"/>
  <c r="I146" i="1" s="1"/>
  <c r="T146" i="1" s="1"/>
  <c r="S145" i="1"/>
  <c r="S144" i="1"/>
  <c r="N144" i="1"/>
  <c r="R144" i="1" s="1"/>
  <c r="S143" i="1"/>
  <c r="S142" i="1"/>
  <c r="N142" i="1"/>
  <c r="R142" i="1" s="1"/>
  <c r="S141" i="1"/>
  <c r="N141" i="1"/>
  <c r="R141" i="1" s="1"/>
  <c r="S140" i="1"/>
  <c r="N140" i="1"/>
  <c r="Q140" i="1" s="1"/>
  <c r="T140" i="1" s="1"/>
  <c r="S139" i="1"/>
  <c r="N139" i="1"/>
  <c r="Q139" i="1" s="1"/>
  <c r="T139" i="1" s="1"/>
  <c r="S138" i="1"/>
  <c r="N138" i="1"/>
  <c r="R138" i="1" s="1"/>
  <c r="S137" i="1"/>
  <c r="N137" i="1"/>
  <c r="R137" i="1" s="1"/>
  <c r="S136" i="1"/>
  <c r="F136" i="1"/>
  <c r="I136" i="1" s="1"/>
  <c r="T136" i="1" s="1"/>
  <c r="S135" i="1"/>
  <c r="N135" i="1"/>
  <c r="Q135" i="1" s="1"/>
  <c r="F135" i="1"/>
  <c r="S134" i="1"/>
  <c r="N134" i="1"/>
  <c r="F134" i="1"/>
  <c r="I134" i="1" s="1"/>
  <c r="S133" i="1"/>
  <c r="N133" i="1"/>
  <c r="S132" i="1"/>
  <c r="N132" i="1"/>
  <c r="S131" i="1"/>
  <c r="N131" i="1"/>
  <c r="Q131" i="1" s="1"/>
  <c r="T131" i="1" s="1"/>
  <c r="S130" i="1"/>
  <c r="N130" i="1"/>
  <c r="R130" i="1" s="1"/>
  <c r="S129" i="1"/>
  <c r="N129" i="1"/>
  <c r="R129" i="1" s="1"/>
  <c r="S128" i="1"/>
  <c r="S127" i="1"/>
  <c r="F127" i="1"/>
  <c r="I127" i="1" s="1"/>
  <c r="T127" i="1" s="1"/>
  <c r="S126" i="1"/>
  <c r="F126" i="1"/>
  <c r="S125" i="1"/>
  <c r="S124" i="1"/>
  <c r="N124" i="1"/>
  <c r="R124" i="1" s="1"/>
  <c r="S123" i="1"/>
  <c r="S122" i="1"/>
  <c r="N122" i="1"/>
  <c r="F122" i="1"/>
  <c r="I122" i="1" s="1"/>
  <c r="S121" i="1"/>
  <c r="N121" i="1"/>
  <c r="Q121" i="1" s="1"/>
  <c r="F121" i="1"/>
  <c r="S120" i="1"/>
  <c r="N120" i="1"/>
  <c r="Q120" i="1" s="1"/>
  <c r="F120" i="1"/>
  <c r="I120" i="1" s="1"/>
  <c r="S119" i="1"/>
  <c r="N119" i="1"/>
  <c r="S118" i="1"/>
  <c r="F118" i="1"/>
  <c r="S117" i="1"/>
  <c r="N117" i="1"/>
  <c r="Q117" i="1" s="1"/>
  <c r="F117" i="1"/>
  <c r="S116" i="1"/>
  <c r="N116" i="1"/>
  <c r="Q116" i="1" s="1"/>
  <c r="F116" i="1"/>
  <c r="I116" i="1" s="1"/>
  <c r="S115" i="1"/>
  <c r="N115" i="1"/>
  <c r="F115" i="1"/>
  <c r="I115" i="1" s="1"/>
  <c r="S114" i="1"/>
  <c r="N114" i="1"/>
  <c r="F114" i="1"/>
  <c r="I114" i="1" s="1"/>
  <c r="S113" i="1"/>
  <c r="N113" i="1"/>
  <c r="S112" i="1"/>
  <c r="N112" i="1"/>
  <c r="Q112" i="1" s="1"/>
  <c r="F112" i="1"/>
  <c r="S111" i="1"/>
  <c r="N111" i="1"/>
  <c r="F111" i="1"/>
  <c r="I111" i="1" s="1"/>
  <c r="S110" i="1"/>
  <c r="N110" i="1"/>
  <c r="F110" i="1"/>
  <c r="I110" i="1" s="1"/>
  <c r="S109" i="1"/>
  <c r="N109" i="1"/>
  <c r="F109" i="1"/>
  <c r="I109" i="1" s="1"/>
  <c r="S108" i="1"/>
  <c r="N108" i="1"/>
  <c r="F108" i="1"/>
  <c r="I108" i="1" s="1"/>
  <c r="S107" i="1"/>
  <c r="N107" i="1"/>
  <c r="F107" i="1"/>
  <c r="I107" i="1" s="1"/>
  <c r="S106" i="1"/>
  <c r="N106" i="1"/>
  <c r="F106" i="1"/>
  <c r="I106" i="1" s="1"/>
  <c r="S105" i="1"/>
  <c r="F105" i="1"/>
  <c r="I105" i="1" s="1"/>
  <c r="T105" i="1" s="1"/>
  <c r="S104" i="1"/>
  <c r="N104" i="1"/>
  <c r="F104" i="1"/>
  <c r="I104" i="1" s="1"/>
  <c r="S103" i="1"/>
  <c r="N103" i="1"/>
  <c r="F103" i="1"/>
  <c r="I103" i="1" s="1"/>
  <c r="S102" i="1"/>
  <c r="N102" i="1"/>
  <c r="Q102" i="1" s="1"/>
  <c r="F102" i="1"/>
  <c r="I102" i="1" s="1"/>
  <c r="S101" i="1"/>
  <c r="F101" i="1"/>
  <c r="I101" i="1" s="1"/>
  <c r="S100" i="1"/>
  <c r="N100" i="1"/>
  <c r="F100" i="1"/>
  <c r="I100" i="1" s="1"/>
  <c r="S99" i="1"/>
  <c r="N99" i="1"/>
  <c r="F99" i="1"/>
  <c r="I99" i="1" s="1"/>
  <c r="S98" i="1"/>
  <c r="F98" i="1"/>
  <c r="I98" i="1" s="1"/>
  <c r="S97" i="1"/>
  <c r="N97" i="1"/>
  <c r="Q97" i="1" s="1"/>
  <c r="F97" i="1"/>
  <c r="I97" i="1" s="1"/>
  <c r="S96" i="1"/>
  <c r="N96" i="1"/>
  <c r="Q96" i="1" s="1"/>
  <c r="F96" i="1"/>
  <c r="S95" i="1"/>
  <c r="N95" i="1"/>
  <c r="Q95" i="1" s="1"/>
  <c r="F95" i="1"/>
  <c r="S94" i="1"/>
  <c r="F94" i="1"/>
  <c r="I94" i="1" s="1"/>
  <c r="S93" i="1"/>
  <c r="S92" i="1"/>
  <c r="N92" i="1"/>
  <c r="Q92" i="1" s="1"/>
  <c r="F92" i="1"/>
  <c r="I92" i="1" s="1"/>
  <c r="S91" i="1"/>
  <c r="N91" i="1"/>
  <c r="F91" i="1"/>
  <c r="I91" i="1" s="1"/>
  <c r="S90" i="1"/>
  <c r="N90" i="1"/>
  <c r="Q90" i="1" s="1"/>
  <c r="F90" i="1"/>
  <c r="I90" i="1" s="1"/>
  <c r="S89" i="1"/>
  <c r="F89" i="1"/>
  <c r="I89" i="1" s="1"/>
  <c r="S88" i="1"/>
  <c r="F88" i="1"/>
  <c r="R88" i="1" s="1"/>
  <c r="S87" i="1"/>
  <c r="N87" i="1"/>
  <c r="F87" i="1"/>
  <c r="I87" i="1" s="1"/>
  <c r="S86" i="1"/>
  <c r="N86" i="1"/>
  <c r="F86" i="1"/>
  <c r="I86" i="1" s="1"/>
  <c r="S85" i="1"/>
  <c r="N85" i="1"/>
  <c r="Q85" i="1" s="1"/>
  <c r="F85" i="1"/>
  <c r="S84" i="1"/>
  <c r="N84" i="1"/>
  <c r="Q84" i="1" s="1"/>
  <c r="F84" i="1"/>
  <c r="I84" i="1" s="1"/>
  <c r="S83" i="1"/>
  <c r="N83" i="1"/>
  <c r="F83" i="1"/>
  <c r="I83" i="1" s="1"/>
  <c r="S82" i="1"/>
  <c r="N82" i="1"/>
  <c r="F82" i="1"/>
  <c r="I82" i="1" s="1"/>
  <c r="S81" i="1"/>
  <c r="N81" i="1"/>
  <c r="Q81" i="1" s="1"/>
  <c r="S80" i="1"/>
  <c r="S79" i="1"/>
  <c r="N79" i="1"/>
  <c r="Q79" i="1" s="1"/>
  <c r="S78" i="1"/>
  <c r="N78" i="1"/>
  <c r="F78" i="1"/>
  <c r="I78" i="1" s="1"/>
  <c r="S77" i="1"/>
  <c r="N77" i="1"/>
  <c r="Q77" i="1" s="1"/>
  <c r="F77" i="1"/>
  <c r="I77" i="1" s="1"/>
  <c r="S76" i="1"/>
  <c r="N76" i="1"/>
  <c r="Q76" i="1" s="1"/>
  <c r="F76" i="1"/>
  <c r="I76" i="1" s="1"/>
  <c r="S75" i="1"/>
  <c r="N75" i="1"/>
  <c r="F75" i="1"/>
  <c r="I75" i="1" s="1"/>
  <c r="S74" i="1"/>
  <c r="N74" i="1"/>
  <c r="F74" i="1"/>
  <c r="I74" i="1" s="1"/>
  <c r="S73" i="1"/>
  <c r="N73" i="1"/>
  <c r="Q73" i="1" s="1"/>
  <c r="F73" i="1"/>
  <c r="S72" i="1"/>
  <c r="S71" i="1"/>
  <c r="N71" i="1"/>
  <c r="F71" i="1"/>
  <c r="I71" i="1" s="1"/>
  <c r="S70" i="1"/>
  <c r="N70" i="1"/>
  <c r="F70" i="1"/>
  <c r="I70" i="1" s="1"/>
  <c r="S69" i="1"/>
  <c r="N69" i="1"/>
  <c r="Q69" i="1" s="1"/>
  <c r="F69" i="1"/>
  <c r="I69" i="1" s="1"/>
  <c r="S68" i="1"/>
  <c r="F68" i="1"/>
  <c r="I68" i="1" s="1"/>
  <c r="S67" i="1"/>
  <c r="N67" i="1"/>
  <c r="Q67" i="1" s="1"/>
  <c r="F67" i="1"/>
  <c r="I67" i="1" s="1"/>
  <c r="S66" i="1"/>
  <c r="N66" i="1"/>
  <c r="F66" i="1"/>
  <c r="I66" i="1" s="1"/>
  <c r="S65" i="1"/>
  <c r="N65" i="1"/>
  <c r="F65" i="1"/>
  <c r="I65" i="1" s="1"/>
  <c r="S64" i="1"/>
  <c r="N64" i="1"/>
  <c r="Q64" i="1" s="1"/>
  <c r="F64" i="1"/>
  <c r="S63" i="1"/>
  <c r="S62" i="1"/>
  <c r="F62" i="1"/>
  <c r="I62" i="1" s="1"/>
  <c r="S61" i="1"/>
  <c r="N61" i="1"/>
  <c r="F61" i="1"/>
  <c r="I61" i="1" s="1"/>
  <c r="S60" i="1"/>
  <c r="N60" i="1"/>
  <c r="Q60" i="1" s="1"/>
  <c r="S59" i="1"/>
  <c r="S58" i="1"/>
  <c r="S57" i="1"/>
  <c r="E253" i="1"/>
  <c r="S56" i="1"/>
  <c r="N56" i="1"/>
  <c r="Q56" i="1" s="1"/>
  <c r="F56" i="1"/>
  <c r="I56" i="1" s="1"/>
  <c r="S55" i="1"/>
  <c r="N55" i="1"/>
  <c r="S54" i="1"/>
  <c r="N54" i="1"/>
  <c r="Q54" i="1" s="1"/>
  <c r="F54" i="1"/>
  <c r="I54" i="1" s="1"/>
  <c r="S53" i="1"/>
  <c r="N53" i="1"/>
  <c r="S52" i="1"/>
  <c r="N52" i="1"/>
  <c r="Q52" i="1" s="1"/>
  <c r="F52" i="1"/>
  <c r="S51" i="1"/>
  <c r="N51" i="1"/>
  <c r="Q51" i="1" s="1"/>
  <c r="F51" i="1"/>
  <c r="I51" i="1" s="1"/>
  <c r="S50" i="1"/>
  <c r="F50" i="1"/>
  <c r="R50" i="1" s="1"/>
  <c r="S49" i="1"/>
  <c r="N49" i="1"/>
  <c r="Q49" i="1" s="1"/>
  <c r="S48" i="1"/>
  <c r="F48" i="1"/>
  <c r="R48" i="1" s="1"/>
  <c r="S47" i="1"/>
  <c r="F47" i="1"/>
  <c r="R47" i="1" s="1"/>
  <c r="S46" i="1"/>
  <c r="F46" i="1"/>
  <c r="R46" i="1" s="1"/>
  <c r="S45" i="1"/>
  <c r="F45" i="1"/>
  <c r="S44" i="1"/>
  <c r="F44" i="1"/>
  <c r="R44" i="1" s="1"/>
  <c r="T43" i="1"/>
  <c r="S43" i="1"/>
  <c r="R43" i="1"/>
  <c r="S42" i="1"/>
  <c r="S41" i="1"/>
  <c r="F41" i="1"/>
  <c r="R41" i="1" s="1"/>
  <c r="S40" i="1"/>
  <c r="N40" i="1"/>
  <c r="Q40" i="1" s="1"/>
  <c r="T40" i="1" s="1"/>
  <c r="S39" i="1"/>
  <c r="N39" i="1"/>
  <c r="S38" i="1"/>
  <c r="N38" i="1"/>
  <c r="R38" i="1" s="1"/>
  <c r="S37" i="1"/>
  <c r="N37" i="1"/>
  <c r="R37" i="1" s="1"/>
  <c r="S36" i="1"/>
  <c r="F36" i="1"/>
  <c r="S35" i="1"/>
  <c r="N35" i="1"/>
  <c r="S34" i="1"/>
  <c r="N34" i="1"/>
  <c r="R34" i="1" s="1"/>
  <c r="S33" i="1"/>
  <c r="N33" i="1"/>
  <c r="R33" i="1" s="1"/>
  <c r="S32" i="1"/>
  <c r="N32" i="1"/>
  <c r="S31" i="1"/>
  <c r="N31" i="1"/>
  <c r="S30" i="1"/>
  <c r="F30" i="1"/>
  <c r="R30" i="1" s="1"/>
  <c r="S29" i="1"/>
  <c r="F29" i="1"/>
  <c r="S28" i="1"/>
  <c r="F28" i="1"/>
  <c r="S27" i="1"/>
  <c r="F27" i="1"/>
  <c r="I27" i="1" s="1"/>
  <c r="T27" i="1" s="1"/>
  <c r="S26" i="1"/>
  <c r="S25" i="1"/>
  <c r="N25" i="1"/>
  <c r="R25" i="1" s="1"/>
  <c r="S24" i="1"/>
  <c r="N24" i="1"/>
  <c r="S23" i="1"/>
  <c r="N23" i="1"/>
  <c r="R23" i="1" s="1"/>
  <c r="S22" i="1"/>
  <c r="N22" i="1"/>
  <c r="R22" i="1" s="1"/>
  <c r="S21" i="1"/>
  <c r="N21" i="1"/>
  <c r="Q21" i="1" s="1"/>
  <c r="T21" i="1" s="1"/>
  <c r="S20" i="1"/>
  <c r="F20" i="1"/>
  <c r="S19" i="1"/>
  <c r="S18" i="1"/>
  <c r="N18" i="1"/>
  <c r="Q18" i="1" s="1"/>
  <c r="F18" i="1"/>
  <c r="S17" i="1"/>
  <c r="F17" i="1"/>
  <c r="I17" i="1" s="1"/>
  <c r="T17" i="1" s="1"/>
  <c r="S16" i="1"/>
  <c r="N16" i="1"/>
  <c r="F16" i="1"/>
  <c r="I16" i="1" s="1"/>
  <c r="S15" i="1"/>
  <c r="N15" i="1"/>
  <c r="Q15" i="1" s="1"/>
  <c r="F15" i="1"/>
  <c r="I15" i="1" s="1"/>
  <c r="S14" i="1"/>
  <c r="N14" i="1"/>
  <c r="Q14" i="1" s="1"/>
  <c r="T14" i="1" s="1"/>
  <c r="T13" i="1"/>
  <c r="S13" i="1"/>
  <c r="R13" i="1"/>
  <c r="S12" i="1"/>
  <c r="N12" i="1"/>
  <c r="Q12" i="1" s="1"/>
  <c r="F12" i="1"/>
  <c r="S11" i="1"/>
  <c r="N11" i="1"/>
  <c r="Q11" i="1" s="1"/>
  <c r="F11" i="1"/>
  <c r="S10" i="1"/>
  <c r="N10" i="1"/>
  <c r="Q10" i="1" s="1"/>
  <c r="F10" i="1"/>
  <c r="S9" i="1"/>
  <c r="N9" i="1"/>
  <c r="Q9" i="1" s="1"/>
  <c r="F9" i="1"/>
  <c r="S8" i="1"/>
  <c r="S7" i="1"/>
  <c r="Z33" i="9" l="1"/>
  <c r="Z20" i="9"/>
  <c r="Z38" i="9"/>
  <c r="M27" i="9"/>
  <c r="X34" i="9"/>
  <c r="X8" i="9"/>
  <c r="Y15" i="9"/>
  <c r="X19" i="9"/>
  <c r="AA19" i="9" s="1"/>
  <c r="M22" i="9"/>
  <c r="AA22" i="9" s="1"/>
  <c r="X25" i="9"/>
  <c r="Y34" i="9"/>
  <c r="Z36" i="9"/>
  <c r="Z37" i="9"/>
  <c r="Z43" i="9"/>
  <c r="Z44" i="9"/>
  <c r="Z48" i="9"/>
  <c r="M51" i="9"/>
  <c r="Z8" i="9"/>
  <c r="M9" i="9"/>
  <c r="Z18" i="9"/>
  <c r="Z25" i="9"/>
  <c r="Z28" i="9"/>
  <c r="M32" i="9"/>
  <c r="M36" i="9"/>
  <c r="M43" i="9"/>
  <c r="M45" i="9"/>
  <c r="X46" i="9"/>
  <c r="Z27" i="9"/>
  <c r="Z32" i="9"/>
  <c r="M15" i="9"/>
  <c r="X16" i="9"/>
  <c r="M19" i="9"/>
  <c r="L30" i="9"/>
  <c r="Z30" i="9" s="1"/>
  <c r="M33" i="9"/>
  <c r="L35" i="9"/>
  <c r="Z35" i="9" s="1"/>
  <c r="M46" i="9"/>
  <c r="Z50" i="9"/>
  <c r="C52" i="9"/>
  <c r="R52" i="9"/>
  <c r="D52" i="9"/>
  <c r="Y16" i="9"/>
  <c r="Z34" i="9"/>
  <c r="Z41" i="9"/>
  <c r="Z45" i="9"/>
  <c r="M50" i="9"/>
  <c r="Z10" i="9"/>
  <c r="J52" i="9"/>
  <c r="Z24" i="9"/>
  <c r="I52" i="9"/>
  <c r="Z42" i="9"/>
  <c r="J8" i="10"/>
  <c r="J5" i="10"/>
  <c r="M13" i="9"/>
  <c r="Y13" i="9"/>
  <c r="Z12" i="9"/>
  <c r="M12" i="9"/>
  <c r="M18" i="9"/>
  <c r="Y18" i="9"/>
  <c r="AA15" i="9"/>
  <c r="Z26" i="9"/>
  <c r="M8" i="9"/>
  <c r="W9" i="9"/>
  <c r="Z9" i="9" s="1"/>
  <c r="L16" i="9"/>
  <c r="X18" i="9"/>
  <c r="Z31" i="9"/>
  <c r="W40" i="9"/>
  <c r="Z49" i="9"/>
  <c r="Y9" i="9"/>
  <c r="X48" i="9"/>
  <c r="G10" i="9"/>
  <c r="G11" i="9"/>
  <c r="G14" i="9"/>
  <c r="M14" i="9" s="1"/>
  <c r="Y14" i="9"/>
  <c r="Z16" i="9"/>
  <c r="X17" i="9"/>
  <c r="AA17" i="9" s="1"/>
  <c r="Y21" i="9"/>
  <c r="X21" i="9"/>
  <c r="Z22" i="9"/>
  <c r="M25" i="9"/>
  <c r="AA25" i="9" s="1"/>
  <c r="X26" i="9"/>
  <c r="X27" i="9"/>
  <c r="Y28" i="9"/>
  <c r="M28" i="9"/>
  <c r="X28" i="9"/>
  <c r="X30" i="9"/>
  <c r="X32" i="9"/>
  <c r="AA32" i="9" s="1"/>
  <c r="M34" i="9"/>
  <c r="AA34" i="9" s="1"/>
  <c r="X35" i="9"/>
  <c r="X36" i="9"/>
  <c r="Y37" i="9"/>
  <c r="M37" i="9"/>
  <c r="X37" i="9"/>
  <c r="Y42" i="9"/>
  <c r="X42" i="9"/>
  <c r="Y44" i="9"/>
  <c r="X44" i="9"/>
  <c r="X47" i="9"/>
  <c r="AA47" i="9" s="1"/>
  <c r="G48" i="9"/>
  <c r="M48" i="9" s="1"/>
  <c r="AA8" i="9"/>
  <c r="X10" i="9"/>
  <c r="W11" i="9"/>
  <c r="X12" i="9"/>
  <c r="AA12" i="9" s="1"/>
  <c r="X13" i="9"/>
  <c r="AA13" i="9" s="1"/>
  <c r="X14" i="9"/>
  <c r="AA14" i="9" s="1"/>
  <c r="Z15" i="9"/>
  <c r="Y17" i="9"/>
  <c r="Z19" i="9"/>
  <c r="X20" i="9"/>
  <c r="AA20" i="9" s="1"/>
  <c r="M21" i="9"/>
  <c r="Y24" i="9"/>
  <c r="X24" i="9"/>
  <c r="AA24" i="9" s="1"/>
  <c r="G26" i="9"/>
  <c r="Y27" i="9"/>
  <c r="H52" i="9"/>
  <c r="M29" i="9"/>
  <c r="AA29" i="9" s="1"/>
  <c r="G30" i="9"/>
  <c r="Y31" i="9"/>
  <c r="M31" i="9"/>
  <c r="X31" i="9"/>
  <c r="Y32" i="9"/>
  <c r="Y33" i="9"/>
  <c r="X33" i="9"/>
  <c r="AA33" i="9" s="1"/>
  <c r="G35" i="9"/>
  <c r="Y36" i="9"/>
  <c r="X38" i="9"/>
  <c r="AA38" i="9" s="1"/>
  <c r="Y41" i="9"/>
  <c r="X41" i="9"/>
  <c r="AA41" i="9" s="1"/>
  <c r="M42" i="9"/>
  <c r="Y43" i="9"/>
  <c r="X43" i="9"/>
  <c r="AA43" i="9" s="1"/>
  <c r="M44" i="9"/>
  <c r="Y45" i="9"/>
  <c r="X45" i="9"/>
  <c r="AA45" i="9" s="1"/>
  <c r="AA46" i="9"/>
  <c r="Y47" i="9"/>
  <c r="Y49" i="9"/>
  <c r="M49" i="9"/>
  <c r="X49" i="9"/>
  <c r="AA50" i="9"/>
  <c r="W23" i="9"/>
  <c r="Z23" i="9" s="1"/>
  <c r="G40" i="9"/>
  <c r="W51" i="9"/>
  <c r="Z51" i="9" s="1"/>
  <c r="T20" i="7"/>
  <c r="R12" i="7"/>
  <c r="R19" i="7"/>
  <c r="R7" i="7"/>
  <c r="I6" i="7"/>
  <c r="I16" i="7"/>
  <c r="T16" i="7" s="1"/>
  <c r="R6" i="7"/>
  <c r="R9" i="7"/>
  <c r="R10" i="7"/>
  <c r="R14" i="7"/>
  <c r="M25" i="7"/>
  <c r="M33" i="7" s="1"/>
  <c r="R17" i="7"/>
  <c r="R18" i="7"/>
  <c r="R22" i="7"/>
  <c r="R23" i="7"/>
  <c r="Q13" i="7"/>
  <c r="T13" i="7" s="1"/>
  <c r="R13" i="7"/>
  <c r="F31" i="7"/>
  <c r="I25" i="7"/>
  <c r="T25" i="7" s="1"/>
  <c r="I24" i="7"/>
  <c r="T24" i="7" s="1"/>
  <c r="R24" i="7"/>
  <c r="R21" i="7"/>
  <c r="Q6" i="7"/>
  <c r="T6" i="7" s="1"/>
  <c r="Q10" i="7"/>
  <c r="T10" i="7" s="1"/>
  <c r="R11" i="7"/>
  <c r="I12" i="7"/>
  <c r="T12" i="7" s="1"/>
  <c r="N15" i="7"/>
  <c r="Q18" i="7"/>
  <c r="T18" i="7" s="1"/>
  <c r="Q19" i="7"/>
  <c r="T19" i="7" s="1"/>
  <c r="R20" i="7"/>
  <c r="Q23" i="7"/>
  <c r="T23" i="7" s="1"/>
  <c r="D25" i="7"/>
  <c r="D31" i="7" s="1"/>
  <c r="J25" i="7"/>
  <c r="J33" i="7" s="1"/>
  <c r="I7" i="7"/>
  <c r="T7" i="7" s="1"/>
  <c r="Q9" i="7"/>
  <c r="T9" i="7" s="1"/>
  <c r="Q14" i="7"/>
  <c r="T14" i="7" s="1"/>
  <c r="Q17" i="7"/>
  <c r="T17" i="7" s="1"/>
  <c r="Q22" i="7"/>
  <c r="T22" i="7" s="1"/>
  <c r="R8" i="7"/>
  <c r="R11" i="5"/>
  <c r="R13" i="5"/>
  <c r="Q25" i="5"/>
  <c r="T25" i="5" s="1"/>
  <c r="R28" i="5"/>
  <c r="K34" i="5"/>
  <c r="K41" i="5" s="1"/>
  <c r="M34" i="5"/>
  <c r="M41" i="5" s="1"/>
  <c r="T17" i="5"/>
  <c r="R18" i="5"/>
  <c r="T19" i="5"/>
  <c r="T20" i="5"/>
  <c r="T27" i="5"/>
  <c r="F34" i="5"/>
  <c r="F41" i="5" s="1"/>
  <c r="I5" i="5"/>
  <c r="R5" i="5"/>
  <c r="R14" i="5"/>
  <c r="T31" i="5"/>
  <c r="Q8" i="5"/>
  <c r="T8" i="5" s="1"/>
  <c r="R8" i="5"/>
  <c r="R21" i="5"/>
  <c r="Q21" i="5"/>
  <c r="T21" i="5" s="1"/>
  <c r="R6" i="5"/>
  <c r="R15" i="5"/>
  <c r="Q15" i="5"/>
  <c r="T15" i="5" s="1"/>
  <c r="Q7" i="5"/>
  <c r="T7" i="5" s="1"/>
  <c r="R7" i="5"/>
  <c r="R12" i="5"/>
  <c r="Q12" i="5"/>
  <c r="T12" i="5" s="1"/>
  <c r="R16" i="5"/>
  <c r="Q16" i="5"/>
  <c r="T16" i="5" s="1"/>
  <c r="R22" i="5"/>
  <c r="Q22" i="5"/>
  <c r="T22" i="5" s="1"/>
  <c r="R26" i="5"/>
  <c r="Q26" i="5"/>
  <c r="T26" i="5" s="1"/>
  <c r="R33" i="5"/>
  <c r="I33" i="5"/>
  <c r="T33" i="5" s="1"/>
  <c r="T24" i="5"/>
  <c r="T29" i="5"/>
  <c r="R20" i="5"/>
  <c r="R17" i="5"/>
  <c r="R27" i="5"/>
  <c r="R31" i="5"/>
  <c r="B34" i="5"/>
  <c r="B41" i="5" s="1"/>
  <c r="J34" i="5"/>
  <c r="J41" i="5" s="1"/>
  <c r="Q5" i="5"/>
  <c r="T5" i="5" s="1"/>
  <c r="Q6" i="5"/>
  <c r="T6" i="5" s="1"/>
  <c r="Q9" i="5"/>
  <c r="T9" i="5" s="1"/>
  <c r="R10" i="5"/>
  <c r="I11" i="5"/>
  <c r="T11" i="5" s="1"/>
  <c r="I13" i="5"/>
  <c r="T13" i="5" s="1"/>
  <c r="Q14" i="5"/>
  <c r="T14" i="5" s="1"/>
  <c r="Q18" i="5"/>
  <c r="T18" i="5" s="1"/>
  <c r="R19" i="5"/>
  <c r="Q23" i="5"/>
  <c r="T23" i="5" s="1"/>
  <c r="R24" i="5"/>
  <c r="Q28" i="5"/>
  <c r="T28" i="5" s="1"/>
  <c r="R29" i="5"/>
  <c r="I30" i="5"/>
  <c r="T30" i="5" s="1"/>
  <c r="Q32" i="5"/>
  <c r="T32" i="5" s="1"/>
  <c r="D34" i="5"/>
  <c r="D41" i="5" s="1"/>
  <c r="N34" i="5"/>
  <c r="N41" i="5" s="1"/>
  <c r="T39" i="3"/>
  <c r="N68" i="3"/>
  <c r="R19" i="3"/>
  <c r="R27" i="3"/>
  <c r="T51" i="3"/>
  <c r="R74" i="3"/>
  <c r="N76" i="3"/>
  <c r="Q76" i="3" s="1"/>
  <c r="T76" i="3" s="1"/>
  <c r="R35" i="3"/>
  <c r="R63" i="3"/>
  <c r="R64" i="3"/>
  <c r="R81" i="3"/>
  <c r="R41" i="3"/>
  <c r="N43" i="3"/>
  <c r="R72" i="3"/>
  <c r="R75" i="3"/>
  <c r="T26" i="3"/>
  <c r="R62" i="3"/>
  <c r="K95" i="3"/>
  <c r="K101" i="3" s="1"/>
  <c r="T20" i="3"/>
  <c r="R22" i="3"/>
  <c r="T31" i="3"/>
  <c r="R33" i="3"/>
  <c r="N36" i="3"/>
  <c r="R36" i="3" s="1"/>
  <c r="R38" i="3"/>
  <c r="N49" i="3"/>
  <c r="R49" i="3" s="1"/>
  <c r="R54" i="3"/>
  <c r="T50" i="3"/>
  <c r="R82" i="3"/>
  <c r="T83" i="3"/>
  <c r="R24" i="3"/>
  <c r="R56" i="3"/>
  <c r="R58" i="3"/>
  <c r="R71" i="3"/>
  <c r="R80" i="3"/>
  <c r="R69" i="3"/>
  <c r="R53" i="3"/>
  <c r="Q53" i="3"/>
  <c r="Q10" i="3"/>
  <c r="T10" i="3" s="1"/>
  <c r="R10" i="3"/>
  <c r="Q14" i="3"/>
  <c r="T14" i="3" s="1"/>
  <c r="R14" i="3"/>
  <c r="Q29" i="3"/>
  <c r="T29" i="3" s="1"/>
  <c r="R29" i="3"/>
  <c r="R40" i="3"/>
  <c r="Q40" i="3"/>
  <c r="T40" i="3" s="1"/>
  <c r="R42" i="3"/>
  <c r="Q42" i="3"/>
  <c r="T42" i="3" s="1"/>
  <c r="R61" i="3"/>
  <c r="I63" i="3"/>
  <c r="T63" i="3" s="1"/>
  <c r="Q80" i="3"/>
  <c r="T80" i="3" s="1"/>
  <c r="Q87" i="3"/>
  <c r="T87" i="3" s="1"/>
  <c r="R7" i="3"/>
  <c r="B95" i="3"/>
  <c r="B101" i="3" s="1"/>
  <c r="R15" i="3"/>
  <c r="R16" i="3"/>
  <c r="I22" i="3"/>
  <c r="T22" i="3" s="1"/>
  <c r="Q24" i="3"/>
  <c r="T24" i="3" s="1"/>
  <c r="R44" i="3"/>
  <c r="T45" i="3"/>
  <c r="N47" i="3"/>
  <c r="I55" i="3"/>
  <c r="R57" i="3"/>
  <c r="Q58" i="3"/>
  <c r="T58" i="3" s="1"/>
  <c r="R65" i="3"/>
  <c r="R66" i="3"/>
  <c r="Q69" i="3"/>
  <c r="T69" i="3" s="1"/>
  <c r="Q75" i="3"/>
  <c r="T75" i="3" s="1"/>
  <c r="R83" i="3"/>
  <c r="R90" i="3"/>
  <c r="R91" i="3"/>
  <c r="T6" i="3"/>
  <c r="T8" i="3"/>
  <c r="T11" i="3"/>
  <c r="T18" i="3"/>
  <c r="R23" i="3"/>
  <c r="R25" i="3"/>
  <c r="I27" i="3"/>
  <c r="T27" i="3" s="1"/>
  <c r="R70" i="3"/>
  <c r="I72" i="3"/>
  <c r="T72" i="3" s="1"/>
  <c r="I92" i="3"/>
  <c r="T92" i="3" s="1"/>
  <c r="F94" i="3"/>
  <c r="R94" i="3" s="1"/>
  <c r="R8" i="3"/>
  <c r="R11" i="3"/>
  <c r="T15" i="3"/>
  <c r="M95" i="3"/>
  <c r="M101" i="3" s="1"/>
  <c r="T23" i="3"/>
  <c r="R26" i="3"/>
  <c r="N28" i="3"/>
  <c r="R50" i="3"/>
  <c r="T55" i="3"/>
  <c r="T65" i="3"/>
  <c r="R67" i="3"/>
  <c r="R79" i="3"/>
  <c r="R84" i="3"/>
  <c r="R37" i="3"/>
  <c r="Q37" i="3"/>
  <c r="T37" i="3" s="1"/>
  <c r="R43" i="3"/>
  <c r="Q43" i="3"/>
  <c r="T43" i="3" s="1"/>
  <c r="I13" i="3"/>
  <c r="T13" i="3" s="1"/>
  <c r="R13" i="3"/>
  <c r="R17" i="3"/>
  <c r="Q17" i="3"/>
  <c r="T17" i="3" s="1"/>
  <c r="R6" i="3"/>
  <c r="I7" i="3"/>
  <c r="T7" i="3" s="1"/>
  <c r="L95" i="3"/>
  <c r="L101" i="3" s="1"/>
  <c r="Q16" i="3"/>
  <c r="T16" i="3" s="1"/>
  <c r="R18" i="3"/>
  <c r="R20" i="3"/>
  <c r="Q25" i="3"/>
  <c r="T25" i="3" s="1"/>
  <c r="T30" i="3"/>
  <c r="Q33" i="3"/>
  <c r="T33" i="3" s="1"/>
  <c r="Q35" i="3"/>
  <c r="T35" i="3" s="1"/>
  <c r="R39" i="3"/>
  <c r="R45" i="3"/>
  <c r="R46" i="3"/>
  <c r="Q46" i="3"/>
  <c r="T46" i="3" s="1"/>
  <c r="R51" i="3"/>
  <c r="T53" i="3"/>
  <c r="I54" i="3"/>
  <c r="T54" i="3" s="1"/>
  <c r="T56" i="3"/>
  <c r="I57" i="3"/>
  <c r="T57" i="3" s="1"/>
  <c r="R59" i="3"/>
  <c r="Q59" i="3"/>
  <c r="T59" i="3" s="1"/>
  <c r="R60" i="3"/>
  <c r="Q78" i="3"/>
  <c r="T78" i="3" s="1"/>
  <c r="R78" i="3"/>
  <c r="N9" i="3"/>
  <c r="N21" i="3"/>
  <c r="R30" i="3"/>
  <c r="R34" i="3"/>
  <c r="N52" i="3"/>
  <c r="T60" i="3"/>
  <c r="Q73" i="3"/>
  <c r="T73" i="3" s="1"/>
  <c r="R73" i="3"/>
  <c r="Q77" i="3"/>
  <c r="T77" i="3" s="1"/>
  <c r="R77" i="3"/>
  <c r="R48" i="3"/>
  <c r="Q48" i="3"/>
  <c r="T48" i="3" s="1"/>
  <c r="R68" i="3"/>
  <c r="Q68" i="3"/>
  <c r="T68" i="3" s="1"/>
  <c r="R88" i="3"/>
  <c r="Q88" i="3"/>
  <c r="T88" i="3" s="1"/>
  <c r="J95" i="3"/>
  <c r="J101" i="3" s="1"/>
  <c r="F12" i="3"/>
  <c r="I12" i="3" s="1"/>
  <c r="T12" i="3" s="1"/>
  <c r="Q19" i="3"/>
  <c r="T19" i="3" s="1"/>
  <c r="R31" i="3"/>
  <c r="R32" i="3"/>
  <c r="Q32" i="3"/>
  <c r="T32" i="3" s="1"/>
  <c r="Q34" i="3"/>
  <c r="T34" i="3" s="1"/>
  <c r="Q38" i="3"/>
  <c r="T38" i="3" s="1"/>
  <c r="I41" i="3"/>
  <c r="T41" i="3" s="1"/>
  <c r="T44" i="3"/>
  <c r="Q61" i="3"/>
  <c r="T61" i="3" s="1"/>
  <c r="Q62" i="3"/>
  <c r="T62" i="3" s="1"/>
  <c r="I64" i="3"/>
  <c r="T64" i="3" s="1"/>
  <c r="Q66" i="3"/>
  <c r="T66" i="3" s="1"/>
  <c r="Q67" i="3"/>
  <c r="T67" i="3" s="1"/>
  <c r="Q70" i="3"/>
  <c r="T70" i="3" s="1"/>
  <c r="Q71" i="3"/>
  <c r="T71" i="3" s="1"/>
  <c r="I74" i="3"/>
  <c r="T74" i="3" s="1"/>
  <c r="I79" i="3"/>
  <c r="T79" i="3" s="1"/>
  <c r="Q81" i="3"/>
  <c r="T81" i="3" s="1"/>
  <c r="Q82" i="3"/>
  <c r="T82" i="3" s="1"/>
  <c r="I84" i="3"/>
  <c r="T84" i="3" s="1"/>
  <c r="Q86" i="3"/>
  <c r="T86" i="3" s="1"/>
  <c r="I89" i="3"/>
  <c r="T89" i="3" s="1"/>
  <c r="I93" i="3"/>
  <c r="T93" i="3" s="1"/>
  <c r="T244" i="1"/>
  <c r="R10" i="1"/>
  <c r="Q34" i="1"/>
  <c r="T34" i="1" s="1"/>
  <c r="Q184" i="1"/>
  <c r="T184" i="1" s="1"/>
  <c r="Q162" i="1"/>
  <c r="T162" i="1" s="1"/>
  <c r="I200" i="1"/>
  <c r="T200" i="1" s="1"/>
  <c r="Q210" i="1"/>
  <c r="T210" i="1" s="1"/>
  <c r="Q218" i="1"/>
  <c r="T218" i="1" s="1"/>
  <c r="Q225" i="1"/>
  <c r="T225" i="1" s="1"/>
  <c r="I46" i="1"/>
  <c r="T46" i="1" s="1"/>
  <c r="Q181" i="1"/>
  <c r="T181" i="1" s="1"/>
  <c r="I197" i="1"/>
  <c r="T197" i="1" s="1"/>
  <c r="Q25" i="1"/>
  <c r="T25" i="1" s="1"/>
  <c r="R136" i="1"/>
  <c r="Q192" i="1"/>
  <c r="T192" i="1" s="1"/>
  <c r="R140" i="1"/>
  <c r="Q189" i="1"/>
  <c r="T189" i="1" s="1"/>
  <c r="N208" i="1"/>
  <c r="Q208" i="1" s="1"/>
  <c r="T208" i="1" s="1"/>
  <c r="Q226" i="1"/>
  <c r="T226" i="1" s="1"/>
  <c r="Q22" i="1"/>
  <c r="T22" i="1" s="1"/>
  <c r="R14" i="1"/>
  <c r="T102" i="1"/>
  <c r="R15" i="1"/>
  <c r="R16" i="1"/>
  <c r="F55" i="1"/>
  <c r="I55" i="1" s="1"/>
  <c r="F72" i="1"/>
  <c r="R72" i="1" s="1"/>
  <c r="R110" i="1"/>
  <c r="F113" i="1"/>
  <c r="I113" i="1" s="1"/>
  <c r="F125" i="1"/>
  <c r="R125" i="1" s="1"/>
  <c r="R131" i="1"/>
  <c r="F145" i="1"/>
  <c r="R145" i="1" s="1"/>
  <c r="R165" i="1"/>
  <c r="I174" i="1"/>
  <c r="T174" i="1" s="1"/>
  <c r="Q180" i="1"/>
  <c r="T180" i="1" s="1"/>
  <c r="Q188" i="1"/>
  <c r="T188" i="1" s="1"/>
  <c r="Q196" i="1"/>
  <c r="T196" i="1" s="1"/>
  <c r="R204" i="1"/>
  <c r="Q217" i="1"/>
  <c r="T217" i="1" s="1"/>
  <c r="F81" i="1"/>
  <c r="R81" i="1" s="1"/>
  <c r="N94" i="1"/>
  <c r="R94" i="1" s="1"/>
  <c r="Q185" i="1"/>
  <c r="T185" i="1" s="1"/>
  <c r="Q193" i="1"/>
  <c r="T193" i="1" s="1"/>
  <c r="I201" i="1"/>
  <c r="T201" i="1" s="1"/>
  <c r="Q216" i="1"/>
  <c r="T216" i="1" s="1"/>
  <c r="R12" i="1"/>
  <c r="N80" i="1"/>
  <c r="Q80" i="1" s="1"/>
  <c r="F132" i="1"/>
  <c r="I132" i="1" s="1"/>
  <c r="F173" i="1"/>
  <c r="I173" i="1" s="1"/>
  <c r="T15" i="1"/>
  <c r="R17" i="1"/>
  <c r="F26" i="1"/>
  <c r="I26" i="1" s="1"/>
  <c r="T26" i="1" s="1"/>
  <c r="Q33" i="1"/>
  <c r="T33" i="1" s="1"/>
  <c r="I47" i="1"/>
  <c r="T47" i="1" s="1"/>
  <c r="F49" i="1"/>
  <c r="I49" i="1" s="1"/>
  <c r="T51" i="1"/>
  <c r="R61" i="1"/>
  <c r="F63" i="1"/>
  <c r="I63" i="1" s="1"/>
  <c r="N63" i="1"/>
  <c r="Q63" i="1" s="1"/>
  <c r="R73" i="1"/>
  <c r="R77" i="1"/>
  <c r="R112" i="1"/>
  <c r="R121" i="1"/>
  <c r="F133" i="1"/>
  <c r="I133" i="1" s="1"/>
  <c r="F143" i="1"/>
  <c r="R143" i="1" s="1"/>
  <c r="F147" i="1"/>
  <c r="R147" i="1" s="1"/>
  <c r="R166" i="1"/>
  <c r="F172" i="1"/>
  <c r="I172" i="1" s="1"/>
  <c r="T172" i="1" s="1"/>
  <c r="N203" i="1"/>
  <c r="Q203" i="1" s="1"/>
  <c r="T203" i="1" s="1"/>
  <c r="Q204" i="1"/>
  <c r="T204" i="1" s="1"/>
  <c r="T214" i="1"/>
  <c r="R215" i="1"/>
  <c r="N239" i="1"/>
  <c r="Q239" i="1" s="1"/>
  <c r="F53" i="1"/>
  <c r="I53" i="1" s="1"/>
  <c r="F59" i="1"/>
  <c r="I59" i="1" s="1"/>
  <c r="N59" i="1"/>
  <c r="Q59" i="1" s="1"/>
  <c r="T177" i="1"/>
  <c r="R52" i="1"/>
  <c r="F60" i="1"/>
  <c r="I60" i="1" s="1"/>
  <c r="T60" i="1" s="1"/>
  <c r="N89" i="1"/>
  <c r="Q89" i="1" s="1"/>
  <c r="T89" i="1" s="1"/>
  <c r="T92" i="1"/>
  <c r="N98" i="1"/>
  <c r="R98" i="1" s="1"/>
  <c r="R100" i="1"/>
  <c r="R111" i="1"/>
  <c r="T120" i="1"/>
  <c r="F123" i="1"/>
  <c r="I123" i="1" s="1"/>
  <c r="T123" i="1" s="1"/>
  <c r="R127" i="1"/>
  <c r="R139" i="1"/>
  <c r="R146" i="1"/>
  <c r="Q164" i="1"/>
  <c r="T164" i="1" s="1"/>
  <c r="R208" i="1"/>
  <c r="R40" i="1"/>
  <c r="I41" i="1"/>
  <c r="T41" i="1" s="1"/>
  <c r="I45" i="1"/>
  <c r="T45" i="1" s="1"/>
  <c r="R45" i="1"/>
  <c r="I52" i="1"/>
  <c r="T52" i="1" s="1"/>
  <c r="R64" i="1"/>
  <c r="I64" i="1"/>
  <c r="T64" i="1" s="1"/>
  <c r="I73" i="1"/>
  <c r="R75" i="1"/>
  <c r="Q75" i="1"/>
  <c r="T75" i="1" s="1"/>
  <c r="I112" i="1"/>
  <c r="T112" i="1" s="1"/>
  <c r="T116" i="1"/>
  <c r="Q132" i="1"/>
  <c r="C253" i="1"/>
  <c r="M253" i="1"/>
  <c r="R27" i="1"/>
  <c r="I29" i="1"/>
  <c r="T29" i="1" s="1"/>
  <c r="R29" i="1"/>
  <c r="Q37" i="1"/>
  <c r="T37" i="1" s="1"/>
  <c r="I50" i="1"/>
  <c r="T50" i="1" s="1"/>
  <c r="F57" i="1"/>
  <c r="R57" i="1" s="1"/>
  <c r="F79" i="1"/>
  <c r="I79" i="1" s="1"/>
  <c r="T79" i="1" s="1"/>
  <c r="R105" i="1"/>
  <c r="Q110" i="1"/>
  <c r="T110" i="1" s="1"/>
  <c r="Q111" i="1"/>
  <c r="T111" i="1" s="1"/>
  <c r="R118" i="1"/>
  <c r="I118" i="1"/>
  <c r="T118" i="1" s="1"/>
  <c r="I121" i="1"/>
  <c r="T121" i="1" s="1"/>
  <c r="R150" i="1"/>
  <c r="Q150" i="1"/>
  <c r="T150" i="1" s="1"/>
  <c r="F152" i="1"/>
  <c r="R152" i="1" s="1"/>
  <c r="R159" i="1"/>
  <c r="Q159" i="1"/>
  <c r="T159" i="1" s="1"/>
  <c r="N173" i="1"/>
  <c r="R173" i="1" s="1"/>
  <c r="R207" i="1"/>
  <c r="Q207" i="1"/>
  <c r="T207" i="1" s="1"/>
  <c r="N209" i="1"/>
  <c r="R209" i="1" s="1"/>
  <c r="N212" i="1"/>
  <c r="Q212" i="1" s="1"/>
  <c r="T212" i="1" s="1"/>
  <c r="K253" i="1"/>
  <c r="N7" i="1"/>
  <c r="Q32" i="1"/>
  <c r="T32" i="1" s="1"/>
  <c r="R32" i="1"/>
  <c r="F8" i="1"/>
  <c r="I8" i="1" s="1"/>
  <c r="J253" i="1"/>
  <c r="I36" i="1"/>
  <c r="T36" i="1" s="1"/>
  <c r="R36" i="1"/>
  <c r="F42" i="1"/>
  <c r="R42" i="1" s="1"/>
  <c r="N62" i="1"/>
  <c r="R62" i="1" s="1"/>
  <c r="N68" i="1"/>
  <c r="R68" i="1" s="1"/>
  <c r="R71" i="1"/>
  <c r="Q71" i="1"/>
  <c r="T71" i="1" s="1"/>
  <c r="R85" i="1"/>
  <c r="I85" i="1"/>
  <c r="T85" i="1" s="1"/>
  <c r="R96" i="1"/>
  <c r="I96" i="1"/>
  <c r="T96" i="1" s="1"/>
  <c r="N101" i="1"/>
  <c r="Q101" i="1" s="1"/>
  <c r="T101" i="1" s="1"/>
  <c r="R117" i="1"/>
  <c r="I117" i="1"/>
  <c r="T117" i="1" s="1"/>
  <c r="R231" i="1"/>
  <c r="Q231" i="1"/>
  <c r="T231" i="1" s="1"/>
  <c r="I247" i="1"/>
  <c r="T247" i="1" s="1"/>
  <c r="Q24" i="1"/>
  <c r="T24" i="1" s="1"/>
  <c r="R24" i="1"/>
  <c r="R119" i="1"/>
  <c r="Q119" i="1"/>
  <c r="T119" i="1" s="1"/>
  <c r="R151" i="1"/>
  <c r="Q151" i="1"/>
  <c r="T151" i="1" s="1"/>
  <c r="Q163" i="1"/>
  <c r="T163" i="1" s="1"/>
  <c r="T176" i="1"/>
  <c r="R206" i="1"/>
  <c r="Q206" i="1"/>
  <c r="T206" i="1" s="1"/>
  <c r="N221" i="1"/>
  <c r="R221" i="1" s="1"/>
  <c r="F239" i="1"/>
  <c r="I239" i="1" s="1"/>
  <c r="N240" i="1"/>
  <c r="R240" i="1" s="1"/>
  <c r="I246" i="1"/>
  <c r="T246" i="1" s="1"/>
  <c r="R246" i="1"/>
  <c r="R54" i="1"/>
  <c r="R56" i="1"/>
  <c r="F58" i="1"/>
  <c r="I58" i="1" s="1"/>
  <c r="T58" i="1" s="1"/>
  <c r="R66" i="1"/>
  <c r="T73" i="1"/>
  <c r="R74" i="1"/>
  <c r="T77" i="1"/>
  <c r="R78" i="1"/>
  <c r="R83" i="1"/>
  <c r="R87" i="1"/>
  <c r="T90" i="1"/>
  <c r="R91" i="1"/>
  <c r="R115" i="1"/>
  <c r="R122" i="1"/>
  <c r="F128" i="1"/>
  <c r="I128" i="1" s="1"/>
  <c r="T128" i="1" s="1"/>
  <c r="R135" i="1"/>
  <c r="F148" i="1"/>
  <c r="I148" i="1" s="1"/>
  <c r="R178" i="1"/>
  <c r="R213" i="1"/>
  <c r="R214" i="1"/>
  <c r="N224" i="1"/>
  <c r="Q224" i="1" s="1"/>
  <c r="T224" i="1" s="1"/>
  <c r="N228" i="1"/>
  <c r="R228" i="1" s="1"/>
  <c r="N233" i="1"/>
  <c r="Q233" i="1" s="1"/>
  <c r="T233" i="1" s="1"/>
  <c r="N234" i="1"/>
  <c r="R234" i="1" s="1"/>
  <c r="N235" i="1"/>
  <c r="Q235" i="1" s="1"/>
  <c r="T235" i="1" s="1"/>
  <c r="N236" i="1"/>
  <c r="R236" i="1" s="1"/>
  <c r="T238" i="1"/>
  <c r="R65" i="1"/>
  <c r="Q66" i="1"/>
  <c r="T66" i="1" s="1"/>
  <c r="F80" i="1"/>
  <c r="I80" i="1" s="1"/>
  <c r="R82" i="1"/>
  <c r="Q83" i="1"/>
  <c r="T83" i="1" s="1"/>
  <c r="R86" i="1"/>
  <c r="Q87" i="1"/>
  <c r="T87" i="1" s="1"/>
  <c r="F93" i="1"/>
  <c r="I93" i="1" s="1"/>
  <c r="N93" i="1"/>
  <c r="Q93" i="1" s="1"/>
  <c r="Q115" i="1"/>
  <c r="T115" i="1" s="1"/>
  <c r="Q129" i="1"/>
  <c r="T129" i="1" s="1"/>
  <c r="I135" i="1"/>
  <c r="T135" i="1" s="1"/>
  <c r="Q137" i="1"/>
  <c r="T137" i="1" s="1"/>
  <c r="Q141" i="1"/>
  <c r="T141" i="1" s="1"/>
  <c r="F156" i="1"/>
  <c r="R156" i="1" s="1"/>
  <c r="I167" i="1"/>
  <c r="T167" i="1" s="1"/>
  <c r="R176" i="1"/>
  <c r="I178" i="1"/>
  <c r="T178" i="1" s="1"/>
  <c r="N220" i="1"/>
  <c r="Q220" i="1" s="1"/>
  <c r="T220" i="1" s="1"/>
  <c r="F241" i="1"/>
  <c r="I241" i="1" s="1"/>
  <c r="I9" i="1"/>
  <c r="T9" i="1" s="1"/>
  <c r="R9" i="1"/>
  <c r="I11" i="1"/>
  <c r="T11" i="1" s="1"/>
  <c r="R11" i="1"/>
  <c r="I18" i="1"/>
  <c r="T18" i="1" s="1"/>
  <c r="R18" i="1"/>
  <c r="I20" i="1"/>
  <c r="W20" i="1"/>
  <c r="R28" i="1"/>
  <c r="I28" i="1"/>
  <c r="T28" i="1" s="1"/>
  <c r="B253" i="1"/>
  <c r="F7" i="1"/>
  <c r="Q7" i="1"/>
  <c r="L253" i="1"/>
  <c r="I10" i="1"/>
  <c r="T10" i="1" s="1"/>
  <c r="I12" i="1"/>
  <c r="T12" i="1" s="1"/>
  <c r="Q16" i="1"/>
  <c r="T16" i="1" s="1"/>
  <c r="F19" i="1"/>
  <c r="R21" i="1"/>
  <c r="R31" i="1"/>
  <c r="Q31" i="1"/>
  <c r="T31" i="1" s="1"/>
  <c r="R39" i="1"/>
  <c r="Q39" i="1"/>
  <c r="T39" i="1" s="1"/>
  <c r="Q70" i="1"/>
  <c r="T70" i="1" s="1"/>
  <c r="R70" i="1"/>
  <c r="I95" i="1"/>
  <c r="T95" i="1" s="1"/>
  <c r="R95" i="1"/>
  <c r="N20" i="1"/>
  <c r="I30" i="1"/>
  <c r="T30" i="1" s="1"/>
  <c r="Q38" i="1"/>
  <c r="T38" i="1" s="1"/>
  <c r="T49" i="1"/>
  <c r="T76" i="1"/>
  <c r="R99" i="1"/>
  <c r="Q99" i="1"/>
  <c r="T99" i="1" s="1"/>
  <c r="D253" i="1"/>
  <c r="N8" i="1"/>
  <c r="Q23" i="1"/>
  <c r="T23" i="1" s="1"/>
  <c r="R35" i="1"/>
  <c r="Q35" i="1"/>
  <c r="T35" i="1" s="1"/>
  <c r="T54" i="1"/>
  <c r="T56" i="1"/>
  <c r="T67" i="1"/>
  <c r="T69" i="1"/>
  <c r="T84" i="1"/>
  <c r="Q68" i="1"/>
  <c r="T68" i="1" s="1"/>
  <c r="R90" i="1"/>
  <c r="R92" i="1"/>
  <c r="R104" i="1"/>
  <c r="Q104" i="1"/>
  <c r="T104" i="1" s="1"/>
  <c r="R106" i="1"/>
  <c r="Q106" i="1"/>
  <c r="T106" i="1" s="1"/>
  <c r="R51" i="1"/>
  <c r="R67" i="1"/>
  <c r="R69" i="1"/>
  <c r="R76" i="1"/>
  <c r="R84" i="1"/>
  <c r="T97" i="1"/>
  <c r="R101" i="1"/>
  <c r="R107" i="1"/>
  <c r="Q107" i="1"/>
  <c r="T107" i="1" s="1"/>
  <c r="I154" i="1"/>
  <c r="T154" i="1" s="1"/>
  <c r="R154" i="1"/>
  <c r="R157" i="1"/>
  <c r="I157" i="1"/>
  <c r="T157" i="1" s="1"/>
  <c r="I161" i="1"/>
  <c r="T161" i="1" s="1"/>
  <c r="R161" i="1"/>
  <c r="I44" i="1"/>
  <c r="T44" i="1" s="1"/>
  <c r="I48" i="1"/>
  <c r="T48" i="1" s="1"/>
  <c r="Q53" i="1"/>
  <c r="Q55" i="1"/>
  <c r="Q61" i="1"/>
  <c r="T61" i="1" s="1"/>
  <c r="Q65" i="1"/>
  <c r="T65" i="1" s="1"/>
  <c r="Q74" i="1"/>
  <c r="T74" i="1" s="1"/>
  <c r="Q78" i="1"/>
  <c r="T78" i="1" s="1"/>
  <c r="Q82" i="1"/>
  <c r="T82" i="1" s="1"/>
  <c r="Q86" i="1"/>
  <c r="T86" i="1" s="1"/>
  <c r="I88" i="1"/>
  <c r="T88" i="1" s="1"/>
  <c r="Q91" i="1"/>
  <c r="T91" i="1" s="1"/>
  <c r="R97" i="1"/>
  <c r="R108" i="1"/>
  <c r="Q108" i="1"/>
  <c r="T108" i="1" s="1"/>
  <c r="R114" i="1"/>
  <c r="Q133" i="1"/>
  <c r="Q158" i="1"/>
  <c r="T158" i="1" s="1"/>
  <c r="R158" i="1"/>
  <c r="Q100" i="1"/>
  <c r="T100" i="1" s="1"/>
  <c r="R102" i="1"/>
  <c r="R103" i="1"/>
  <c r="Q103" i="1"/>
  <c r="T103" i="1" s="1"/>
  <c r="R109" i="1"/>
  <c r="Q109" i="1"/>
  <c r="T109" i="1" s="1"/>
  <c r="R126" i="1"/>
  <c r="I126" i="1"/>
  <c r="T126" i="1" s="1"/>
  <c r="Q134" i="1"/>
  <c r="T134" i="1" s="1"/>
  <c r="R134" i="1"/>
  <c r="I145" i="1"/>
  <c r="T145" i="1" s="1"/>
  <c r="R116" i="1"/>
  <c r="R120" i="1"/>
  <c r="R169" i="1"/>
  <c r="I169" i="1"/>
  <c r="T169" i="1" s="1"/>
  <c r="R171" i="1"/>
  <c r="Q171" i="1"/>
  <c r="T171" i="1" s="1"/>
  <c r="R232" i="1"/>
  <c r="Q232" i="1"/>
  <c r="T232" i="1" s="1"/>
  <c r="Q113" i="1"/>
  <c r="Q114" i="1"/>
  <c r="T114" i="1" s="1"/>
  <c r="Q122" i="1"/>
  <c r="T122" i="1" s="1"/>
  <c r="Q124" i="1"/>
  <c r="T124" i="1" s="1"/>
  <c r="Q130" i="1"/>
  <c r="T130" i="1" s="1"/>
  <c r="Q138" i="1"/>
  <c r="T138" i="1" s="1"/>
  <c r="Q142" i="1"/>
  <c r="T142" i="1" s="1"/>
  <c r="Q148" i="1"/>
  <c r="Q153" i="1"/>
  <c r="T153" i="1" s="1"/>
  <c r="I155" i="1"/>
  <c r="T155" i="1" s="1"/>
  <c r="Q160" i="1"/>
  <c r="T160" i="1" s="1"/>
  <c r="I168" i="1"/>
  <c r="T168" i="1" s="1"/>
  <c r="R175" i="1"/>
  <c r="Q175" i="1"/>
  <c r="T175" i="1" s="1"/>
  <c r="R177" i="1"/>
  <c r="R237" i="1"/>
  <c r="Q237" i="1"/>
  <c r="T237" i="1" s="1"/>
  <c r="Q144" i="1"/>
  <c r="T144" i="1" s="1"/>
  <c r="Q149" i="1"/>
  <c r="T149" i="1" s="1"/>
  <c r="R170" i="1"/>
  <c r="Q170" i="1"/>
  <c r="T170" i="1" s="1"/>
  <c r="R223" i="1"/>
  <c r="Q223" i="1"/>
  <c r="T223" i="1" s="1"/>
  <c r="R179" i="1"/>
  <c r="Q179" i="1"/>
  <c r="T179" i="1" s="1"/>
  <c r="T242" i="1"/>
  <c r="T243" i="1"/>
  <c r="R182" i="1"/>
  <c r="Q183" i="1"/>
  <c r="T183" i="1" s="1"/>
  <c r="R186" i="1"/>
  <c r="Q187" i="1"/>
  <c r="T187" i="1" s="1"/>
  <c r="R190" i="1"/>
  <c r="Q191" i="1"/>
  <c r="T191" i="1" s="1"/>
  <c r="R194" i="1"/>
  <c r="Q195" i="1"/>
  <c r="T195" i="1" s="1"/>
  <c r="R198" i="1"/>
  <c r="I199" i="1"/>
  <c r="T199" i="1" s="1"/>
  <c r="R202" i="1"/>
  <c r="I205" i="1"/>
  <c r="T205" i="1" s="1"/>
  <c r="Q211" i="1"/>
  <c r="T211" i="1" s="1"/>
  <c r="I213" i="1"/>
  <c r="T213" i="1" s="1"/>
  <c r="Q215" i="1"/>
  <c r="T215" i="1" s="1"/>
  <c r="R222" i="1"/>
  <c r="R227" i="1"/>
  <c r="R229" i="1"/>
  <c r="Q230" i="1"/>
  <c r="T230" i="1" s="1"/>
  <c r="R238" i="1"/>
  <c r="Q241" i="1"/>
  <c r="R244" i="1"/>
  <c r="I245" i="1"/>
  <c r="T245" i="1" s="1"/>
  <c r="R248" i="1"/>
  <c r="I250" i="1"/>
  <c r="T250" i="1" s="1"/>
  <c r="I251" i="1"/>
  <c r="T251" i="1" s="1"/>
  <c r="R242" i="1"/>
  <c r="R243" i="1"/>
  <c r="I252" i="1"/>
  <c r="T252" i="1" s="1"/>
  <c r="L52" i="9" l="1"/>
  <c r="M30" i="9"/>
  <c r="AA36" i="9"/>
  <c r="AA27" i="9"/>
  <c r="X9" i="9"/>
  <c r="AA9" i="9" s="1"/>
  <c r="AA28" i="9"/>
  <c r="Y30" i="9"/>
  <c r="AA42" i="9"/>
  <c r="X51" i="9"/>
  <c r="AA51" i="9" s="1"/>
  <c r="M40" i="9"/>
  <c r="M11" i="9"/>
  <c r="AA31" i="9"/>
  <c r="AA37" i="9"/>
  <c r="AA21" i="9"/>
  <c r="G52" i="9"/>
  <c r="Y10" i="9"/>
  <c r="M10" i="9"/>
  <c r="Y40" i="9"/>
  <c r="AA18" i="9"/>
  <c r="Y48" i="9"/>
  <c r="M16" i="9"/>
  <c r="AA16" i="9" s="1"/>
  <c r="AA30" i="9"/>
  <c r="X40" i="9"/>
  <c r="AA40" i="9" s="1"/>
  <c r="Z40" i="9"/>
  <c r="X23" i="9"/>
  <c r="AA23" i="9" s="1"/>
  <c r="Y11" i="9"/>
  <c r="AA10" i="9"/>
  <c r="AA49" i="9"/>
  <c r="Y35" i="9"/>
  <c r="M35" i="9"/>
  <c r="AA35" i="9" s="1"/>
  <c r="Y26" i="9"/>
  <c r="M26" i="9"/>
  <c r="AA26" i="9" s="1"/>
  <c r="X11" i="9"/>
  <c r="Z11" i="9"/>
  <c r="AA44" i="9"/>
  <c r="AA48" i="9"/>
  <c r="W52" i="9"/>
  <c r="R15" i="7"/>
  <c r="Q15" i="7"/>
  <c r="T15" i="7" s="1"/>
  <c r="N25" i="7"/>
  <c r="R76" i="3"/>
  <c r="Q49" i="3"/>
  <c r="T49" i="3" s="1"/>
  <c r="N95" i="3"/>
  <c r="N101" i="3" s="1"/>
  <c r="Q36" i="3"/>
  <c r="T36" i="3" s="1"/>
  <c r="I94" i="3"/>
  <c r="T94" i="3" s="1"/>
  <c r="R28" i="3"/>
  <c r="Q28" i="3"/>
  <c r="T28" i="3" s="1"/>
  <c r="Q47" i="3"/>
  <c r="T47" i="3" s="1"/>
  <c r="R47" i="3"/>
  <c r="R12" i="3"/>
  <c r="R52" i="3"/>
  <c r="Q52" i="3"/>
  <c r="T52" i="3" s="1"/>
  <c r="R21" i="3"/>
  <c r="Q21" i="3"/>
  <c r="T21" i="3" s="1"/>
  <c r="Q9" i="3"/>
  <c r="T9" i="3" s="1"/>
  <c r="R9" i="3"/>
  <c r="F95" i="3"/>
  <c r="F101" i="3" s="1"/>
  <c r="Q173" i="1"/>
  <c r="T173" i="1" s="1"/>
  <c r="R203" i="1"/>
  <c r="Q94" i="1"/>
  <c r="T94" i="1" s="1"/>
  <c r="R172" i="1"/>
  <c r="Q221" i="1"/>
  <c r="T221" i="1" s="1"/>
  <c r="R241" i="1"/>
  <c r="R89" i="1"/>
  <c r="I81" i="1"/>
  <c r="T81" i="1" s="1"/>
  <c r="T132" i="1"/>
  <c r="T133" i="1"/>
  <c r="I152" i="1"/>
  <c r="T152" i="1" s="1"/>
  <c r="R133" i="1"/>
  <c r="R148" i="1"/>
  <c r="R26" i="1"/>
  <c r="R132" i="1"/>
  <c r="R233" i="1"/>
  <c r="I156" i="1"/>
  <c r="T156" i="1" s="1"/>
  <c r="Q236" i="1"/>
  <c r="T236" i="1" s="1"/>
  <c r="R55" i="1"/>
  <c r="I147" i="1"/>
  <c r="T147" i="1" s="1"/>
  <c r="I125" i="1"/>
  <c r="T125" i="1" s="1"/>
  <c r="R123" i="1"/>
  <c r="T113" i="1"/>
  <c r="T93" i="1"/>
  <c r="T59" i="1"/>
  <c r="Q240" i="1"/>
  <c r="T240" i="1" s="1"/>
  <c r="R212" i="1"/>
  <c r="R235" i="1"/>
  <c r="R224" i="1"/>
  <c r="I72" i="1"/>
  <c r="T72" i="1" s="1"/>
  <c r="R60" i="1"/>
  <c r="Q234" i="1"/>
  <c r="T234" i="1" s="1"/>
  <c r="T148" i="1"/>
  <c r="T55" i="1"/>
  <c r="R59" i="1"/>
  <c r="I42" i="1"/>
  <c r="T42" i="1" s="1"/>
  <c r="R220" i="1"/>
  <c r="I143" i="1"/>
  <c r="T143" i="1" s="1"/>
  <c r="R113" i="1"/>
  <c r="R49" i="1"/>
  <c r="R79" i="1"/>
  <c r="R93" i="1"/>
  <c r="T80" i="1"/>
  <c r="T63" i="1"/>
  <c r="Q62" i="1"/>
  <c r="T62" i="1" s="1"/>
  <c r="Q228" i="1"/>
  <c r="T228" i="1" s="1"/>
  <c r="Q98" i="1"/>
  <c r="T98" i="1" s="1"/>
  <c r="R63" i="1"/>
  <c r="R58" i="1"/>
  <c r="Q209" i="1"/>
  <c r="T209" i="1" s="1"/>
  <c r="T53" i="1"/>
  <c r="R53" i="1"/>
  <c r="R80" i="1"/>
  <c r="R128" i="1"/>
  <c r="T239" i="1"/>
  <c r="I57" i="1"/>
  <c r="T57" i="1" s="1"/>
  <c r="T241" i="1"/>
  <c r="R239" i="1"/>
  <c r="N253" i="1"/>
  <c r="I19" i="1"/>
  <c r="T19" i="1" s="1"/>
  <c r="R19" i="1"/>
  <c r="Q8" i="1"/>
  <c r="T8" i="1" s="1"/>
  <c r="R8" i="1"/>
  <c r="R20" i="1"/>
  <c r="Q20" i="1"/>
  <c r="T20" i="1" s="1"/>
  <c r="F253" i="1"/>
  <c r="I7" i="1"/>
  <c r="T7" i="1" s="1"/>
  <c r="R7" i="1"/>
  <c r="M52" i="9" l="1"/>
  <c r="AA11" i="9"/>
  <c r="X52" i="9"/>
  <c r="N33" i="7"/>
  <c r="R25" i="7"/>
</calcChain>
</file>

<file path=xl/sharedStrings.xml><?xml version="1.0" encoding="utf-8"?>
<sst xmlns="http://schemas.openxmlformats.org/spreadsheetml/2006/main" count="1440" uniqueCount="584">
  <si>
    <t>ตารางที่ 7 เปรียบเทียบผลการคำนวณต้นทุนกิจกรรมย่อยแยกตามแหล่งเงิน</t>
  </si>
  <si>
    <t>(หน่วย : บาท)</t>
  </si>
  <si>
    <t>ต้นทุนผลผลิตประจำปีงบประมาณ พ.ศ. 2561 (ต.ค. 60 - ก.ย. 61)</t>
  </si>
  <si>
    <t>ต้นทุนผลผลิตประจำปีงบประมาณ พ.ศ. 2562 (ต.ค. 61 - ก.ย. 62)</t>
  </si>
  <si>
    <t>ผลการเปรียบเทียบ</t>
  </si>
  <si>
    <t>กิจกรรมย่อย</t>
  </si>
  <si>
    <t>เงินในงบประมาณ</t>
  </si>
  <si>
    <t>เงินนอกงบประมาณ</t>
  </si>
  <si>
    <t>งบกลาง</t>
  </si>
  <si>
    <t>ค่าเสื่อมราคา</t>
  </si>
  <si>
    <t>ต้นทุนรวม</t>
  </si>
  <si>
    <t>ปริมาณงาน</t>
  </si>
  <si>
    <t>หน่วยนับ</t>
  </si>
  <si>
    <t xml:space="preserve">ต้นทุนต่อหน่วย </t>
  </si>
  <si>
    <t>ต้นทุนรวมเพิ่ม(ลด)%</t>
  </si>
  <si>
    <t>หน่วยนับเพิ่ม/(ลด)%</t>
  </si>
  <si>
    <t>ต้นทุนต่อหน่วยเพิ่ม/(ลด)%</t>
  </si>
  <si>
    <t>รหัสกิจกรรมย่อย</t>
  </si>
  <si>
    <t xml:space="preserve">1.1.1.1  การพัฒนารูปแบบ/เทคโนโลยี/มาตรฐาน/มาตรการ/แนวทาง ด้านการเฝ้าระวัง ป้องกัน ควบคุมโรค และภัยสุขภาพ </t>
  </si>
  <si>
    <t>เรื่อง</t>
  </si>
  <si>
    <t xml:space="preserve">1.1.1.2  การพัฒนานโยบาย ยุทธศาสตร์กฎหมาย และมาตรการที่เอื้อต่อการป้องกัน ควบคุมโรค และภัยสุขภาพ </t>
  </si>
  <si>
    <t xml:space="preserve">1.1.1.3 การพัฒนาระบบงานวิจัย </t>
  </si>
  <si>
    <t xml:space="preserve">1.1.2.1 การประเมินผลการดำเนินงานตามมาตรฐานที่ได้รับการยอมรับตามมาตรฐาน -รายงานฉบับสำหรับผู้บริหารและผู้กำหนดนโยบาย -รายงานฉบับวิชาการ
</t>
  </si>
  <si>
    <t xml:space="preserve">1.1.3.1 การจัดการถ่ายทอดองค์ความรู้เทคโนโลยี การพัฒนาวิชาการและสร้างเครือข่ายความร่วมมือด้านวิชาการแพทย์และสาธารณสุข </t>
  </si>
  <si>
    <t xml:space="preserve">1.1.3.2 การผลิตและเผยแพร่สื่อ/คู่มือ/วารสารวิชาการ/แนวทาง/มาตรฐาน สำหรับบุคลากร </t>
  </si>
  <si>
    <t>1.1.4.1 การจัดทำรายงานการพยากรณ์โรคและภัยสุขภาพที่มีคุณภาพ</t>
  </si>
  <si>
    <t>ปีงบประมาณ พ.ศ.2561 ไม่มีกิจกรรมย่อยนี้</t>
  </si>
  <si>
    <t>ปีงบประมาณ พ.ศ.2562 ไม่มีกิจกรรมย่อยนี้</t>
  </si>
  <si>
    <t>1.1.4.1 พัฒนาศักยภาพบุคคลเพื่อ สนับสนุนการสร้างผลิตภัณฑ์ด้านการเฝ้าระวัง</t>
  </si>
  <si>
    <t>จำนวนชั่วโมง/คนการฝึกอบรม</t>
  </si>
  <si>
    <t>1.1.4.2 พัฒนาระบบคุณภาพองค์กรเพื่อสนับสนุนการสร้างผลิตภัณฑ์ด้านการเฝ้าระวังฯ</t>
  </si>
  <si>
    <t>1.1.4.3 บริหารจัดการเพื่อสนับสนุนการสร้างผลิตภัณฑ์
ด้านการเฝ้าระวังฯ</t>
  </si>
  <si>
    <t>รายการ</t>
  </si>
  <si>
    <t>1.1.5.1 พัฒนาศักยภาพบุคคลเพื่อ สนับสนุนการสร้างผลิตภัณฑ์ด้านการเฝ้าระวังฯ</t>
  </si>
  <si>
    <t>คน</t>
  </si>
  <si>
    <t>1.2.1.1 การจัดการความรู้ การแลกเปลี่ยนเรียนรู้ ผลงานวิชาการของการเฝ้าระวัง ป้องกัน ควบคุมโรคและภัยสุขภาพ</t>
  </si>
  <si>
    <t>2.1.2.1 จัดทำรายงานการพยากรณ์โรคและภัยสุขภาพที่มี
คุณภาพ</t>
  </si>
  <si>
    <t>2.2.1.1 การเสริมสร้างและพัฒนาความร่วมมือและการมีส่วนร่วมของเครือข่ายภายในประเทศและระดับพื้นที่</t>
  </si>
  <si>
    <t>หน่วยงาน</t>
  </si>
  <si>
    <t>2.2.1.2 การพัฒนาเครือข่ายความร่วมมือ ดำเนินการเฝ้าระวัง ป้องกันควบคุมโรคระหว่างประเทศ *ยกเว้นชายแดนภูมิภาคอาเซียน</t>
  </si>
  <si>
    <t>2.2.1.3 การพัฒนาศักยภาพบุคลากรเพื่อสนับสนุนการเสริมสร้างความมีส่วนร่วมของเครือข่าย</t>
  </si>
  <si>
    <t>2.2.1.4 พัฒนาระบบคุณภาพองค์กร เพื่อสนับสนุนการเสริมสร้างความมีส่วนร่วมของเครือข่าย</t>
  </si>
  <si>
    <t>2.2.1.5 บริหารจัดการเพื่อสนับสนุนการเสริมสร้างความมีส่วนร่วมของเครือข่าย</t>
  </si>
  <si>
    <t>2.2.1.6 งานบริหารทั่วไป</t>
  </si>
  <si>
    <t>2.2.2.1 การพัฒนาเครือข่ายความร่วมมือ ดำเนินการเฝ้าระวัง ป้องกันควบคุมโรคระหว่างประเทศ *ยกเว้นชายแดนภูมิภาคอาเซียน</t>
  </si>
  <si>
    <t>2.2.3.1 การพัฒนาศักยภาพบุคลากรเพื่อสนับสนุนการเสริมสร้างความมีส่วนร่วมของเครือข่าย</t>
  </si>
  <si>
    <t>จำนวนชั่วโมง/คนฝึกอบรม</t>
  </si>
  <si>
    <t>2.2.3.2 การพัฒนาระบบคุณภาพองค์กร เพื่อสนับสนุนการเสริมสร้างความมีส่วนร่วมของเครือข่าย</t>
  </si>
  <si>
    <t>2.2.3.3 การบริหารจัดการเพื่อสนับสนุนการเสริมสร้างความมีส่วนร่วมของเครือข่าย</t>
  </si>
  <si>
    <t>รายบริการ</t>
  </si>
  <si>
    <t>2.3.1.1 การแก้ไขปัญหามลพิษและเสริมสร้างคุณภาพชีวิตในพื้นที่เสี่ยง</t>
  </si>
  <si>
    <t>2.3.2.1 ระบบเฝ้าระวังด้านสุขภาพและสิ่งแวดล้อม</t>
  </si>
  <si>
    <t>ราย</t>
  </si>
  <si>
    <t>2.3.2.2 พัฒนาองค์ความรู้ด้านการเฝ้าระวัง ป้องกัน ควบคุมโรคและภัยสุขภาพ</t>
  </si>
  <si>
    <t>2.3.2.3 พัฒนาเครือข่ายความร่วมมือ ดำเนินการเฝ้าระวัง ป้องกันควบคุมโรคระหว่างประเทศ</t>
  </si>
  <si>
    <t>2.3.2.4 รณรงค์และการสื่อสารความเสี่ยงโรค ภัยสุขภาพ และพฤติกรรมที่พึงประสงค์</t>
  </si>
  <si>
    <t>รายสื่อ</t>
  </si>
  <si>
    <t>2.3.3.1 พัฒนาระบบเฝ้าระวัง</t>
  </si>
  <si>
    <t>ระบบ</t>
  </si>
  <si>
    <t>2.4.1.1 การพัฒนามาตรฐานความพร้อมรับภัยพิบัติ (Disaster) และโรคระบาดระดับประเทศ (หน่วยงาน/ระบบ)</t>
  </si>
  <si>
    <t>2.4.1.1 ปรับเปลี่ยนโครงสร้างพื้นฐาน ICT ให้ทันสมัย (Infrature / เครือข่าย / Network)</t>
  </si>
  <si>
    <t>2.4.1.2 สร้างกลไกเชื่อมโยงเพื่อนำไปสู่รัฐบาลอิเล็กทรอนิกส์ (National ICT Integration)</t>
  </si>
  <si>
    <t>2.4.1.3 สร้างนวัตกรรมบริการรูปแบบใหม่</t>
  </si>
  <si>
    <t>2.4.1.4 พัฒนาด้านกฏหมาย / ยกระดับความพร้อมกำลังคน / การบริหารจัดการ / (Policy / HR)</t>
  </si>
  <si>
    <t>2.4.2.1 การพัฒนาทีมสอบสวนเครื่อนที่เร็ว (SRRT) (ทีม)</t>
  </si>
  <si>
    <t>ทีม</t>
  </si>
  <si>
    <t>2.4.2.2 การสอบสวนและสนับสนุนทางห้องปฏิบัติการ</t>
  </si>
  <si>
    <t>2.4.3.1 การพัฒนาบุคลกรทางการแพทย์และทางการสาธารณสุข แขนงเวชศาสตร์การเดินทางและท่องเที่ยว</t>
  </si>
  <si>
    <t>2.5.1.1ปรับเปลี่ยนโครงสร้างพื้นฐาน ICT ให้ทันสมัย
(Infrature/เครือข่าย/Network)</t>
  </si>
  <si>
    <t>2.5.1.2 สร้างกลไกเชื่อมโยงเพื่อนำไปสู่รัฐบาลอิเล็ก
ทรอนิกส์(National ICTIntegration)</t>
  </si>
  <si>
    <t>2.5.1.3 สร้างนวัตกรรมบริการรูปแบบใหม่</t>
  </si>
  <si>
    <t>ชุด</t>
  </si>
  <si>
    <t>2.5.1.4 พัฒนาด้านกฎหมาย /ยกระดับความพร้อมกำลังคน /การบริหารจัดการ (Policy/ HR)</t>
  </si>
  <si>
    <t>โครงการ</t>
  </si>
  <si>
    <t>2.6.1.1 พัฒนาทรัพยากรบุคคล</t>
  </si>
  <si>
    <t>ทุน</t>
  </si>
  <si>
    <t>3.1.1.1 การให้บริการและปฎิบัติการเสริมประสิทธิผลการป้องกัน ควบคุมโรคและภัยสุขภาพ (รายบริการ)</t>
  </si>
  <si>
    <t>3.1.1.2 การสนับสนุนการดำเนินงานตามโครงการพระราชดำริ / โครงการพิเศษ</t>
  </si>
  <si>
    <t>3.2.1.1 การเฝ้าระวังและตอบโต้ข้อมูลข่าวสารเรื่องโรคและภัยสุขภาพ และพฤติกรรมที่ไม่พึงประสงค์</t>
  </si>
  <si>
    <t>3.2.2.1 การพัฒนาพฤติกรรมสุขภาพ / พัฒนาความรอบรู้ด้านสุขภาพประเด็นด้านการป้องกันโรค</t>
  </si>
  <si>
    <t>3.2.2.2 การรณรงค์และการสื่อสารความเสี่ยงโรค ภัยสุขภาพ และพฤติกรรมที่พึงประสงค์</t>
  </si>
  <si>
    <t>3.2.2.3 การจัดการภาพลักษณ์</t>
  </si>
  <si>
    <t>3.2.2.4 การดำเนินงานของศูนย์บริการประชาชน (ศูนย์บริการร่วม/ศูนย์รับเรื่องร้องเรียน/call center/Hotline)</t>
  </si>
  <si>
    <t>3.2.3.1 สร้างและพัฒนาเครือข่ายสื่อสารความเสียงโรค ภัยสุขภาพ และพฤติกรรมที่พึงประสงค์ ให้ครอบคลุมพื้นที่รับผิดชอบ</t>
  </si>
  <si>
    <t>เครือข่าย</t>
  </si>
  <si>
    <t>3.2.4.1 การพัฒนาระบบสื่อสารสาธารณะฯ</t>
  </si>
  <si>
    <t>3.2.5.1 การประเมินผลการดำเนินงานตามยุทธศาสตร์ที่ 4</t>
  </si>
  <si>
    <t xml:space="preserve">4.1.1.1 บริการรักษาและฟื้นฟูสภาพเฉพาะโรคติดต่อสำคัญ โรคอุบัติใหม่ และภัยสุขภาพ
</t>
  </si>
  <si>
    <t>4.1.2.1 การพัฒนาศักยภาพบุคลากรเพื่อสนับสนุนบริการรักษาและฟื้นฟูสภาพเฉพาะโรคในกลุ่มโรคติดต่อสำคัญ โรคอุบัติใหม่ และภัยสุขภาพ</t>
  </si>
  <si>
    <t>4.1.2.2 การพัฒนาระบบคุณภาพองค์กร เพื่อสนับสนุนบริการรักษาและฟื้นฟูสภาพเฉพาะโรคในกลุ่มโรคติดต่อสำคัญ โรคอุบัติใหม่ และภัยสุขภาพ</t>
  </si>
  <si>
    <t>4.1.2.3 บริหารจัดการเพื่อสนับสนุนบริการรักษา และฟื้นฟูสภาพเฉพาะโรค ในกลุ่มโรคติดต่อสำคัญ โรคอุบัติใหม่ และภัยสุขภาพ</t>
  </si>
  <si>
    <t>5.1.1.1 การให้บริการและปฎิบัติการเสริมประสิทธิผลการป้องกัน ควบคุมโรคไข้มาลาเรีย</t>
  </si>
  <si>
    <t>5.1.2.1 การบริการรักษาและฟื้นฟูสภาพเฉพาะโรคไข้มาลาเรีย</t>
  </si>
  <si>
    <t>5.1.2.2สอบสวนและสนับสนุนทางห้องปฏิบัติการ</t>
  </si>
  <si>
    <t>5.1.3.1 การพัฒนากลไกและเครื่องมือสนับสนุนระบบบริการ และการเฝ้าระวัง ป้องกัน ควบคุมโรคไข้มาลาเรีย</t>
  </si>
  <si>
    <t>5.1.4.1 การพัฒนากลไกและเครื่องมือสนับสนุนระบบควบคุมโรคไข้มาลาเรีย</t>
  </si>
  <si>
    <t>5.1.5.1 เสริมสร้างศักยภาพและพัฒนาความร่วมมือของเครือข่ายระดับพื้นที่ ระดับชาติและนานาชาติในการป้องกัน ควบคุมโรคไข้มาลาเรีย</t>
  </si>
  <si>
    <t>5.1.6.1 จัดทำรายงานการพยากรณ์โรคและภัยสุขภาพที่มีคุณภาพ</t>
  </si>
  <si>
    <t>5.1.7.1 การผลิตสื่อและเผยแพร่ประชาสัมพันธ์</t>
  </si>
  <si>
    <t>5.1.7.2 การศึกษา วิเคราะห์ วิจัยพัฒนารูปแบบการจัดกิจกรรมปรับเปลี่ยนพฤติกรรมความเสี่ยง</t>
  </si>
  <si>
    <t>ครั้ง</t>
  </si>
  <si>
    <t>5.1.7.3 การจัดกิจกรรมรณรงค์ประชาสัมพันธ์</t>
  </si>
  <si>
    <t>5.1.7.4 การเฝ้าระวังและตอบโต้ข้อมูลข่าวสารเรื่องโรคไข้มาลาเรีย</t>
  </si>
  <si>
    <t>5.1.8.1 การสร้างและการพัฒนาเครือข่ายสื่อสารความเสี่ยงโรคไข้มาลาเรีย ให้ครอบคลุมพื้นที่รับผิดชอบ</t>
  </si>
  <si>
    <t>5.1.9.1 การพัฒนาศักยภาพบุคคลเพื่อสนับสนุนการสร้างผลิตภัณฑ์ด้านการเฝ้าระวังฯ</t>
  </si>
  <si>
    <t>5.1.9.2 การพัฒนาระบบคุณภาพองค์กรเพื่อสนับสนุนการสร้างผลิตภัณฑ์ด้านการเฝ้าระวังฯ</t>
  </si>
  <si>
    <t>5.1.9.3 การบริหารจัดการเพื่อสนันสนุนการสร้างผลิตภัณฑ์ด้านการเฝ้าระวัง</t>
  </si>
  <si>
    <t>5.1.9.4 บริหารบุคลากร</t>
  </si>
  <si>
    <t>5.2.1.1 การให้บริการและปฏิบัติการเสริมประสิทธิผลป้องกัน ควบคุมวัณโรค</t>
  </si>
  <si>
    <t>5.2.2.1 บริการรักษาและฟื้นฟูสภาพเฉพาะโรควัณโรค</t>
  </si>
  <si>
    <t>5.2.2.2 การสอบสวนและสนับสนุนทางห้องปฏิบัติการ</t>
  </si>
  <si>
    <t>5.2.3.1 การพัฒนากลไกและเครื่องมือสนับสนุนระบบบริการ และการเฝ้าระวัง ป้องกันควบคุมวัณโรค</t>
  </si>
  <si>
    <t>5.2.4.1 พัฒนากลไกและเครื่องมือสนับสนุนระบบควบคุมวัณโรค</t>
  </si>
  <si>
    <t>5.2.5.1 การเสริมสร้างศักยภาพและพัฒนาความร่วมมือของเครืยข่ายระดับพื้นที่ ระดับชาติและนานาชาติในการป้องกันควบคุมวัณโรค</t>
  </si>
  <si>
    <t>5.2.6.1 การจัดทำรายงานการพยากรณ์โรคและภัยสุขภาพที่มีคุณภาพ</t>
  </si>
  <si>
    <t>5.2.7.1 การผลิตสื่อและเผยแพร่ประชาสัมพันธ์</t>
  </si>
  <si>
    <t>5.2.7.2 ศึกษาวิเคราะห์วิจัยพัฒนารูปแบบการจัดกิจกรรม
ปรับเปลี่ยนพฤติกรรมเสี่ยง</t>
  </si>
  <si>
    <t>5.2.7.3 การจัดกิจกรรมรณรงค์สื่อสารประชาสัมพันธ์</t>
  </si>
  <si>
    <t>5.2.7.4 การเฝ้าระวังและตอบโต้ข้อมูลข่าวสารเรื่องวัณโรค</t>
  </si>
  <si>
    <t>5.2.8.1 การสร้างและการพัฒนาเครือข่ายสื่อสารความเสี่ยงวัณโรค ให้ครอบคลุมพื้นที่รับผิดชอบ</t>
  </si>
  <si>
    <t>5.2.9.1 การพัฒนาศักยภาพบุคคลเพื่อ สนับสนุนการสร้างผลิตภัณฑ์ด้านการเฝ้าระวังฯ</t>
  </si>
  <si>
    <t>5.2.9.2 การพัฒนาระบบคุณภาพองค์กรเพื่อ สนับสนุนการสร้างผลิตภัณฑ์ด้านการเฝ้าระวังฯ</t>
  </si>
  <si>
    <t>5.2.9.3 การบริหารจัดการเพื่อสนันสนุนการสร้างผลิตภัณฑ์ด้านการเฝ้าระวังฯ</t>
  </si>
  <si>
    <t>5.2.9.4 การบริหารบุคลากร</t>
  </si>
  <si>
    <t>5.3.1.1รให้บริการและปฏิบัติการเสริมประสิทธิผลการป้องกัน ควบคุมโรคเอดส์และโรคติดต่อทางเพศสัมพันธ์</t>
  </si>
  <si>
    <t>5.3.2.1 บริการรักษาและฟื้นฟูสภาพเฉพาะโรคเอดส์และโรคติดต่อทางเพศสัมพันธ์</t>
  </si>
  <si>
    <t>5.3.2.2 การสอบสวนและสนับสนุนทางห้องปฏิบัติการ</t>
  </si>
  <si>
    <t>5.3.2.3 การพัฒนาระบบบริการรักษาฟื้นฟูเฉพาะโรคเอดส์และโรคติดต่อทางเพศสัมพันธ์ของหน่วยงานภานในกรมควบคุมโรค</t>
  </si>
  <si>
    <t>5.3.3.1 พัฒนากลไกและเครื่องมือสนับสนุนระบบบริการ และเฝ้าระวัง ป้องกัน ควบคุม โรคเอดส์และโรคติดต่อทางเพศสัมพันธ์</t>
  </si>
  <si>
    <t>5.3.4.1 การเสริมสร้างศักยภาพและพัฒนาความร่วมมือของเครือข่ายระดับพื้นที่ ระดับชาติและนานาชาติในการป้องกันควบคุมโรคเอดส์และโรคติดต่อทางเพศสัมพันธ์</t>
  </si>
  <si>
    <t>5.3.5.1 การบริการรักษาและฟื้นฟูสภาพเฉพาะโรคเอดส์และโรคติดต่อทางเพศสัมพันธ์</t>
  </si>
  <si>
    <t>5.3.6.1 การจัดทำรายงานการพยากรณ์โรคและภัยสุขภาพที่มีคุณภาพ</t>
  </si>
  <si>
    <t>5.3.7.1 การผลิตสื่อและเผยแพร่ประชาสัมพันธ์</t>
  </si>
  <si>
    <t>5.3.7.2 การศึกษา วิเคราะห์ วิจัยพัฒนารูปแบบการจัดกิจกรรมปรับเปลี่ยนพฤติกรรมเสี่ยง</t>
  </si>
  <si>
    <t xml:space="preserve">ครั้ง </t>
  </si>
  <si>
    <t>5.3.7.3 การกิจกรรมรณรงค์สื่อสารประชาสัมพันธ์</t>
  </si>
  <si>
    <t>5.3.7.4 การสื่อสารสาธารณะ</t>
  </si>
  <si>
    <t>5.3.7.5 เฝ้าระวังและตอบโต้ข้อมูลข่าวสารเรื่องโรคเอดส์ โรคติดต่อทางเพศสัมพันธ์ไวรัสตับอักเสบและพฤติกรรมที่ ไม่พึงประสงค์</t>
  </si>
  <si>
    <t>5.3.8.1 สร้างและพัฒนาเครือข่ายสื่อสารความเสี่ยงโรคเอดส์โรคติดต่อไวรัสตับอักเสบและพฤติกรรมที่พึงประสงค์ ให้ครอบคลุมพื้นที่รับผิดชอบ</t>
  </si>
  <si>
    <t>5.3.9.1 การพัฒนาศักยภาพบุคคลเพื่อ สนับสนุนการสร้างผลิตภัณฑ์ด้านการเฝ้าระวังฯ</t>
  </si>
  <si>
    <t>5.3.9.2 พัฒนาระบบคุณภาพองค์กรเพื่อ สนับสนุนการสร้างผลิตภัณฑ์ด้านการเฝ้าระวังฯ</t>
  </si>
  <si>
    <t>5.3.9.3 บริหารจัดการเพื่อสนับสนุนการสร้งผลิตภัณฑ์ด้านการเฝ้าระวังฯ</t>
  </si>
  <si>
    <t>5.3.9.4 บริหารบุคลากร</t>
  </si>
  <si>
    <t>6.1.1.1 พัฒนาสมรรถนะช่องทางเข้าออกระหว่างประเทศ ตามแนวทางกฎอนามัยระหว่างประเทศ พ.ศ.2548 (จำนวน
42แห่ง)</t>
  </si>
  <si>
    <t>แห่ง</t>
  </si>
  <si>
    <t>6.1.2.1 พัฒนาระบบเฝ้าระวัง ป้องกัน ควบคุมโรคติดต่อและภัยสุขภาพในพื้นที่ชายแดน</t>
  </si>
  <si>
    <t>จังหวัด</t>
  </si>
  <si>
    <t>6.1.3.1 ขับเคลื่อน IHR ผ่านเกณฑ์มาตราฐานที่กำหนด</t>
  </si>
  <si>
    <t>6.1.4.1 พัฒนาคลีนิกเวชศาสตร์การเดินทางและท่องเที่ยว</t>
  </si>
  <si>
    <t>6.1.5.1 พัฒนาแพทย์ระบาดวิทยา</t>
  </si>
  <si>
    <t>6.1.6.1 พัฒนาบุคลากรทางการแพทย์และทางการสาธารณสุขแขนงเวชศาสตร์การเดินทางและท่องเที่ยว</t>
  </si>
  <si>
    <t>6.1.6.1 การสอน/ฝึกอบรมแพทย์ประจำบ้านสาขาเวชศาสตร์และป้องกันแขนงเวชศาสตร์การเดินทางท่องเที่ยว/บุคลากรทางการแพทย์และสาธารณสุขที่เกี่ยวข้อง</t>
  </si>
  <si>
    <t>6.2.1.1 พัฒนาศูนย์กลางการศึกษาและฝึกอบรมด้านการป้องกันควบคุมโรคและภัยสุขภาพระดับนานาชาติ</t>
  </si>
  <si>
    <t>ระดับ</t>
  </si>
  <si>
    <t>6.2.2.1 พัฒนาหลักสูตรการฝึกอบรม</t>
  </si>
  <si>
    <t>6.2.3.1 จัดประชุม/อบรม/ศึกษาดูงานในการป้องกันควบคุมโรคและภัยสุขภาพ</t>
  </si>
  <si>
    <t>7.1.1.1 พัฒนากลไกและเครื่องมือสนับสนุนระบบบริการการป้องกันควบคุมโรคและภัยสุขภาพตามกลุ่มวัยเด็ก</t>
  </si>
  <si>
    <t>7.1.1.1 พัฒนารูปแบบ / เทคโนโลยี / มาตรฐาน / มาตรการ / แนวทาง ด้านการเฝ้าระวัง ป้องกัน ควบคุมโรคและภัยสุขภาพ</t>
  </si>
  <si>
    <t>7.1.1.2 พัฒนาองค์ความรู้ด้านการเฝ้าระวังป้องกัน ควบคุมโรคและภัยสุขภาพ</t>
  </si>
  <si>
    <t>7.1.1.3 พัฒนาเครือข่ายความร่วมมือดำเนินการเฝ้าระวัง ป้องกันควบคุมโรคระหว่างประเทศ</t>
  </si>
  <si>
    <t>7.1.1.4 รณรงค์และการสื่อสารความเสี่ยงโรคภัยสุขภาพ และ
พฤติกรรมที่พึงประสงค์</t>
  </si>
  <si>
    <t>7.1.2.1 พัฒนาระบบเฝ้าระวัง</t>
  </si>
  <si>
    <t>7.1.2.1 เสริมสร้างและพัฒนาความร่วมมือและการมีส่วนร่วมของเครือข่ายภายในประเทศและระดับพื้นที่</t>
  </si>
  <si>
    <t>7.1.3.1 ผลิตและเผยแพร่สื่อ / คู่มือ / วารสารวิชาการ / แนวทาง / มาตรฐาน สำหรับบุคลากร</t>
  </si>
  <si>
    <t>7.1.3.2 รณรงค์และการสื่อสารความเสี่ยงโรค ภัยสุขภาพ และพฤติกรรมที่พึงประสงค์</t>
  </si>
  <si>
    <t>8.1.1.1 พัฒนากลไกและเครื่องมือสนับสนุนระบบบริการการป้องกันโรคและภัยสุขภาพกลุ่มวัยเรียน</t>
  </si>
  <si>
    <t>8.1.1.2 พัฒนาองค์ความรู้ด้านการเฝ้าระวังป้องกัน ควบคุมโรคและภัยสุขภาพ</t>
  </si>
  <si>
    <t>8.1.1.3 พัฒนาเครือข่ายความร่วมมือดำเนินการเฝ้าระวัง ป้องกันควบคุมโรคระหว่างประเทศ</t>
  </si>
  <si>
    <t>8.1.1.4 รณรงค์และสื่อสารความเสี่ยงโรค ภัยสุขภาพ และพฤติกรรมที่พึงประสงค์</t>
  </si>
  <si>
    <t>8.1.2.1 พัฒนาระบบเฝ้าระวัง</t>
  </si>
  <si>
    <t>8.1.2.1 พัฒนามาตรฐานความพร้อมรับภัยพิบัติ (Disater) และโรคระบาดระดับประเทศ (หน่วยงาน/ระบบ)</t>
  </si>
  <si>
    <t>8.1.3.1 พัฒนาทีมสอบสวนเคลื่อนที่เร็ว (SRRT) (ทีม)</t>
  </si>
  <si>
    <t>8.1.3.2 สอบสวนและสนับสนุนทางห้องปฏิบัติการ</t>
  </si>
  <si>
    <t>8.1.4.1 พัฒนาระบบเฝ้าระวัง</t>
  </si>
  <si>
    <t>8.1.5.1 จัดทำรายงานการพยากรณ์โรคและภัยสุขภาพที่มีคุณภาพ</t>
  </si>
  <si>
    <t>8.2.1.1 พัฒนาทรัพยากรบุคคล</t>
  </si>
  <si>
    <t>9.1.1.1 พัฒนากลไกและเครื่องมือสนับสนุนระบบบริการการ
ป้องกันควบคุมโรคและภัยสุขภาพกลุ่มวัยรุ่น</t>
  </si>
  <si>
    <t>9.1.1.1 พัฒนาสมรรถนะช่องทางการเข้าออกระหว่างประเทศเพื่อรองรับเขตพัฒนาเศรษฐกิจพิเศษตามแนวทางกฏอนามัยระหว่างประเทศ พ.ศ. 2548 (จำนวน 26 แห่ง อยู่ในจังหวัด ตาก สงขลา มุกดาหาร สระแก้ว ตราด เชียงราย กาญจนบุรี หนองคาย นครพนม และ นราธิวาส)</t>
  </si>
  <si>
    <t>9.1.1.2 พัฒนาองค์ความรู้ด้านการเฝ้าระวังป้องกัน ควบคุมโรคและภัยสุขภาพ</t>
  </si>
  <si>
    <t>9.1.1.3 พัฒนาเครือข่ายความร่วมมือดำเนินการเฝ้าระวัง ป้องกันควบคุมโรคระหว่างประเทศ</t>
  </si>
  <si>
    <t>9.1.1.4 รณรงค์และการสื่อสารความเสี่ยงโรคภัยสุขภาพ และ
พฤติกรรมที่พึงประสงค์</t>
  </si>
  <si>
    <t>9.1.2.1 พัฒนาระบบเฝ้าระวัง ป้องกัน ควบคุมโรคติดต่อตามแนวชายแดนตามมาตรฐานที่กำหนด</t>
  </si>
  <si>
    <t>9.1.2.2 พัฒนาความร่วมมือระหว่างประเทศด้านการป้องกันควบคุมโรค เพื่อรองรับเขตพัฒนาเศรษฐกิจ</t>
  </si>
  <si>
    <t>9.1.2.3 พัฒนาระบบส่งต่อผู้ป่วยข้ามแดนเมืองคู่ขนานจังหวัดในเขตพัฒนาเศรษฐกิจพิเศษ</t>
  </si>
  <si>
    <t>9.1.2.4 พัฒนาคลินิกเวชศาสตร์การเดินทางและท่องเที่ยวในเขตพัฒนาเศรษฐกิจพิเศษ</t>
  </si>
  <si>
    <t>10.1.1.1 พัฒนากลไกและเครื่องมือสนับสนุนระบบบริการการป้องกันโรคและภัยสุขภาพกลุ่มวัยทำงาน</t>
  </si>
  <si>
    <t>10.1.1.1 พัฒนารูปแบบ / เทคโนโลยี / มาตรฐาน / มาตรการ / แนวทาง ด้านการเฝ้าระวัง ป้องกัน ควบคุมโรคและภัยสุขภาพ</t>
  </si>
  <si>
    <t xml:space="preserve">10.1.1.2 การพัฒนาองค์ความรู้ด้านการเฝ้าระวังป้องกัน ควบคุมโรคและภัยสุขภาพ </t>
  </si>
  <si>
    <t>10.1.1.3 การพัฒนาเครือข่ายความร่วมมือ การเฝ้าระวัง ป้องกันควบคุมโรคระหว่างประเทศ</t>
  </si>
  <si>
    <t>10.1.1.4 รณรงค์และสื่อสารความเสี่ยงโรค ภัยสุขภาพ และพฤติกรรมที่พึงประสงค์</t>
  </si>
  <si>
    <t>10.1.2.1 พัฒนาระบบเฝ้าระวัง</t>
  </si>
  <si>
    <t>10.1.2.1 เสริมสร้างและพัฒนาความร่วมมือและการมีส่วนร่วมของเครือข่ายในประเทศและระดับพื้นที่</t>
  </si>
  <si>
    <t>10.1.3.1 ผลิตและเผยแพร่สือ / คู่มือ / วารสารวิชาการ / แนวทาง / มาตรฐาน สำหรับบุคลากร</t>
  </si>
  <si>
    <t>10.1.3.2 รณรงค์และการสื่อสารความเสี่ยงโรค ภัยสุขภาพ และพฤติกรรมที่พึงประสงค์</t>
  </si>
  <si>
    <t>11.1.1.1 พัฒนาสมรรถนะช่องทางเข้าออกระหว่างประเทศเพื่อรองรับเขตพัฒนาเศรษฐกิจพิเศษตามแนวทางกฎอนามัยระหว่างประเทศพ.ศ.2548 (จำนวน26 แห่ง อยู่ในจังหวัดตาก
สงขลา มุกดาหาร สระแก้ว ตราด เชียงราย กาญจนบุรี
หนองคาย นครพนม และนราธิวาส)</t>
  </si>
  <si>
    <t>11.1.1.1 ด้านเทคโนโลยีสารสนเทศ</t>
  </si>
  <si>
    <t>11.1.1.2 พัฒนาองค์ความรู้ด้านการเฝ้าระวัง ป้องกัน ควบคุมโรคและภัยสุขภาพ</t>
  </si>
  <si>
    <t>11.1.1.3 พัฒนาเครือข่ายความร่วมมือ ดำเนินการเฝ้าระวัง ป้องกันควบคุมโรค</t>
  </si>
  <si>
    <t>11.1.1.4 รณรงค์และการสื่อสารความเสี่ยงโรค ภัยสุขภาพ และพฤติกรรมที่พึงประสงค์</t>
  </si>
  <si>
    <t>11.1.2.1 พัฒนาระบบเฝ้าระวังป้องกัน ควบคุม
โรคติดต่อตามแนวชายแดนตามมาตรฐานที่กำหนด</t>
  </si>
  <si>
    <t>11.1.2.2 พัฒนาความร่วมมือระหว่างประเทศด้านการป้องกัน
ควบคุมโรคเพื่อรองรับเขตพัฒนาเศรษฐกิจ</t>
  </si>
  <si>
    <t>11.1.2.3 พัฒนาระบบส่งต่อผู้ป่วยข้ามแดนเมืองคู่ขนาน
จังหวัดในเขตพัฒนาเศรษฐกิจพิเศษ</t>
  </si>
  <si>
    <t>11.1.2.4 พัฒนาคลินิกเวชศาสตร์การเดินทางและท่องเที่ยวในเขตพัฒนาเศรษฐกิจพิเศษ</t>
  </si>
  <si>
    <t>12.1.1.1 พัฒนามาตราฐานความพร้อมรับภัยพิบัติและโรคระบาดระดับประเทศ (หน่วยงาน/ระบบ)</t>
  </si>
  <si>
    <t>12.1.2.1 ปรับเปลี่ยนโครงสร้างพื้นฐาน ICT ให้ทันสมัย (Infrature/เครือข่าย/Network)</t>
  </si>
  <si>
    <t>12.1.2.2 สร้างกลไกเชื่อมโยงเพื่อนำไปสู่รัฐบาลอิเล็กทรอนิกส์ (National ICT Integration)</t>
  </si>
  <si>
    <t xml:space="preserve">13.1.1.1 วิจัยด้านการเฝ้าระวัง ป้องกัน ควบคุมโรค และภัยสุขภาพ (นับเฉพาะงานวิจัยที่ดำเนินการแล้วเสร็จภายในปีงบประมาณ) </t>
  </si>
  <si>
    <t>14.1.1.1 ระบบเฝ้าระวังด้านสุขภาพและสิ่งแวดล้อม</t>
  </si>
  <si>
    <t>14.1.1.1 พัฒนากลไกและเครื่องมือสนับสนุนระบบบริการการป้องกัน ควบคุมโรคและภัยสุขภาพกลุ่มวัยเด็ก</t>
  </si>
  <si>
    <t>14.1.1.2 พัฒนาองค์ความรู้ด้านการเฝ้าระวังป้องกัน ควบคุมโรคและภัยสุขภาพ</t>
  </si>
  <si>
    <t>14.1.1.3 พัฒนาเครือข่ายความร่วมมือดำเนินการเฝ้าระวัง ป้องกันควบคุมโรคระหว่างประเทศ</t>
  </si>
  <si>
    <t>14.1.1.4 รณรงค์และการสื่อสารความเสี่ยงโรค ภัยสุขภาพ และพฤติกรรมที่พึงประสงค์</t>
  </si>
  <si>
    <t>14.1.2.1 พัฒนาระบบเฝ้าระวัง</t>
  </si>
  <si>
    <t>14.2.1.1 พัฒนากลไกและเครื่องมือสนับสนุนระบบบริการการป้องกัน ควบคุมโรคและภัยสุขภาพกลุ่มวัยเรียน</t>
  </si>
  <si>
    <t>14.2.1.2 พัฒนาองค์ความรู้ด้านการเฝ้าระวัง ป้องกัน ควบคุมโรคและภัยสุขภาพ</t>
  </si>
  <si>
    <t>14.2.1.3 พัฒนาเครือข่ายความร่วมมือ ดำเนินการเฝ้าระวัง ป้องกันควบคุมโรค</t>
  </si>
  <si>
    <t>14.2.1.4 รณรงค์และการสื่อสารความเสี่ยงโรค ภัยสุขภาพ และพฤติกรรมที่พึงประสงค์</t>
  </si>
  <si>
    <t>14.2.2.1 พัฒนาระบบเฝ้าระวัง</t>
  </si>
  <si>
    <t>14.2.2.2 สนับสนุนการดำเนินงานตามโครงการพระราชดำริ / โครงการพิเศษ</t>
  </si>
  <si>
    <t>14.3.1.1 พัฒนากลไกและเครื่องมือสนับสนุนระบบบริการป้องกัน ควบคุมโรคและภัยสุขภาพกลุ่มวัยทำงาน</t>
  </si>
  <si>
    <t>14.3.1.2 พัฒนาองค์ความรู้ด้านการเฝ้าระวัง ป้องกัน ควบคุมโรคและภัยสุขภาพ</t>
  </si>
  <si>
    <t>14.3.1.3 พัฒนาเครือข่ายความร่วมมือ ดำเนินการเฝ้าระวัง ป้องกันควบคุมโรค</t>
  </si>
  <si>
    <t>14.3.1.4 รณรงค์และการสื่อสารความเสี่ยงโรค ภัยสุขภาพ และพฤติกรรมที่พึงประสงค์</t>
  </si>
  <si>
    <t>14.3.2.1 พัฒนาระบบเฝ้าระวัง</t>
  </si>
  <si>
    <t>14.4.1.1 พัฒนากลไกและเครื่องมือสนับสนุนระบบบริการป้องกัน ควบคุมโรคและภัยสุขภาพกลุ่มวัยทำงาน</t>
  </si>
  <si>
    <t>14.4.1.2 พัฒนาองค์ความรู้ด้านการเฝ้าระวัง ป้องกัน ควบคุมโรคและภัยสุขภาพ</t>
  </si>
  <si>
    <t>14.4.1.3 พัฒนาเครือข่ายความร่วมมือ ดำเนินการเฝ้าระวัง ป้องกันควบคุมโรค</t>
  </si>
  <si>
    <t>14.4.1.4 รณรงค์และการสื่อสารความเสี่ยงโรค ภัยสุขภาพ และพฤติกรรมที่พึงประสงค์</t>
  </si>
  <si>
    <t>14.4.2.1 พัฒนาระบบเฝ้าระวัง</t>
  </si>
  <si>
    <t>14.4.2.2 สนับสนุนการดำเนินงานตามโครงการพระราชดำริ / โครงการพิเศษ</t>
  </si>
  <si>
    <t>15.1.1.1 ระบบเฝ้าระวังด้านสุขภาพจากมลพิษทางอากาศ</t>
  </si>
  <si>
    <t>15.1.1.1 สนับสนุนการให้บริการด้านอาชีว อนามัยในสถานบริการ</t>
  </si>
  <si>
    <t>15.1.1.2 พัฒนาองค์ความรู้ด้านการเฝ้าระวังป้องกัน ควบคุมโรคและภัยสุขภาพ</t>
  </si>
  <si>
    <t>15.1.1.3 พัฒนาเครือข่ายความร่วมมือ การเฝ้าระวัง ป้องกันควบคุมโรคระหว่างประเทศ</t>
  </si>
  <si>
    <t>15.1.1.4 รณรงค์และสื่อสารความเสี่ยงโรค ภัยสุขภาพ และพฤติกรรมที่พึงประสงค์</t>
  </si>
  <si>
    <t>15.1.2.1 พัฒนาระบบเฝ้าระวัง</t>
  </si>
  <si>
    <t>15.1.2.1 พัฒนาระบบบริการบำบัดโรคจากสารเสพติดในสถานประกอบการ</t>
  </si>
  <si>
    <t>15.1.2.2 พัฒนาระบบบริการบำบัดโรคจากสารเสพติดในสถานบริการสุขภาพ</t>
  </si>
  <si>
    <t>15.2.3 ติดตามและประเมินผลการดำเนินงาน</t>
  </si>
  <si>
    <t>16.1.1.1 ระบบเฝ้าระวังด้านสุขภาพจากมลพิษทางอากาศ</t>
  </si>
  <si>
    <t>16.1.1.2 พัฒนาองค์ความรู้ด้านการเฝ้าระวัง ป้องกัน ควบคุมโรคและภัยสุขภาพ</t>
  </si>
  <si>
    <t>16.1.1.3 พัฒนาเครือข่ายความร่วมมือ ดำเนินการเฝ้าระวัง ป้องกันควบคุมโรค</t>
  </si>
  <si>
    <t>16.1.1.4 รณรงค์และการสื่อสารความเสี่ยงโรค ภัยสุขภาพ และพฤติกรรมที่พึงประสงค์</t>
  </si>
  <si>
    <t>16.1.2.1 พัฒนาระบบเฝ้าระวัง</t>
  </si>
  <si>
    <t>16.2.1.1 ระบบเฝ้าระวังด้านสุขภาพจากมลพิษหมอกควัน</t>
  </si>
  <si>
    <t>16.2.1.2 พัฒนาองค์ความรู้ด้านการเฝ้าระวัง ป้องกัน ควบคุมโรคและภัยสุขภาพ</t>
  </si>
  <si>
    <t>16.2.1.3 พัฒนาเครือข่ายความร่วมมือ ดำเนินการเฝ้าระวัง ป้องกันควบคุมโรค</t>
  </si>
  <si>
    <t>16.2.1.4 รณรงค์และการสื่อสารความเสี่ยงโรค ภัยสุขภาพ และพฤติกรรมที่พึงประสงค์</t>
  </si>
  <si>
    <t>16.2.2.1 พัฒนาระบบเฝ้าระวัง</t>
  </si>
  <si>
    <t>17.1.1.3 กำกับติดตามประเมินผลดำเนินงาน</t>
  </si>
  <si>
    <t>17.2.1.1 พัฒนามาตรฐาน แนวทาง คู่มือ ในการส่งเสริมการปฏิบัติตามประมวลจริยธรรม ข้าราชการพลเรือน และเสริมสร้างความโปร่งใสในการปฏิบัติราชการ กรมควบคุมโรค</t>
  </si>
  <si>
    <t>17.2.1.2 ถ่ายทอดองค์ความรู้ในการส่งเสริมการปฏิบัติตามประมวลจริยธรรม ข้าราชการพลเรือน และเสริมสร้างความโปร่งใสในการปฏิบัติราชการ กรมควบคุมโรค แก่บุคลากรในสังกัด</t>
  </si>
  <si>
    <t>กิจกรรมย่อยหน่วยงานสนับสนุน</t>
  </si>
  <si>
    <t>2.1.1.1 การพัฒนาระบบเฝ้าระวัง</t>
  </si>
  <si>
    <t>2.1.1.1 การพัฒนาทรัพยากรบุคคล</t>
  </si>
  <si>
    <t>2.1.1.2 การบริหารบุคลากร</t>
  </si>
  <si>
    <t>จำนวนบุคลากร</t>
  </si>
  <si>
    <t>2.1.1.3 การตรวจสอบภายใน</t>
  </si>
  <si>
    <t>จำนวนงานตรวจสอบ / คนวัน</t>
  </si>
  <si>
    <t>จำนวจงานตรวจสอบ / คน วัน</t>
  </si>
  <si>
    <t>2.1.1.4 การควบคุมภายในและการบริหารความเสี่ยง</t>
  </si>
  <si>
    <t>รายงาน</t>
  </si>
  <si>
    <t>2.1.1.5 การพัฒนาระบบราชการและระบบคุณภาพ</t>
  </si>
  <si>
    <t>ด้าน</t>
  </si>
  <si>
    <t>2.1.1.6 ด้านแผนงาน : พัฒนากลยุทธ์ แผนปฏิบัติราชการและติดตามประเมินผล</t>
  </si>
  <si>
    <t>2.1.1.7 การเงินและบัญชี</t>
  </si>
  <si>
    <t>จำนวนเอกสารรายการ</t>
  </si>
  <si>
    <t>2.1.1.8 การพัสดุ (จัดซื้อจัดจ้าง)</t>
  </si>
  <si>
    <t>จำนวนครั้งของการจัดซื้อจัดจ้าง</t>
  </si>
  <si>
    <t>2.1.1.9 ด้านสารบรรณ</t>
  </si>
  <si>
    <t>จำนวนหนังสือ เข้า-ออก</t>
  </si>
  <si>
    <t>จำนวนหนังสือ เข้า - ออก</t>
  </si>
  <si>
    <t>2.1.1.10 ด้านยานพาหนะ</t>
  </si>
  <si>
    <t>กิโลเมตร</t>
  </si>
  <si>
    <t>2.1.1.11 ด้านงานช่วยอำนวยการ</t>
  </si>
  <si>
    <t>2.1.1.12 ด้านการวิเทศสัมพันธ์</t>
  </si>
  <si>
    <t>2.1.1.13 ด้านการประชาสัมพันธ์</t>
  </si>
  <si>
    <t>2.1.1.14 ด้านงบประมาณ</t>
  </si>
  <si>
    <t>จำนวนเงินงบประมาณที่ได้รับจัดสรร</t>
  </si>
  <si>
    <t>2.1.1.15 ด้านอาคารสถานที่</t>
  </si>
  <si>
    <t>2.1.1.16 ด้านวินัยและความรับผิดชอบทางละเมิด</t>
  </si>
  <si>
    <t>2.5.1.5 ด้านเทคโนโลยีสารสนเทศภายในหน่วยงาน</t>
  </si>
  <si>
    <t>เครื่อง</t>
  </si>
  <si>
    <t>2.5.1.6 ด้านเครือข่ายอินเตอร์เน็ตและเว็บไซต์</t>
  </si>
  <si>
    <t>16.1.1.1 การพัฒนามาตรฐาน แนวทาง คู่มือ ในการส่งเสริมการปฏิบัติตามประมวลจริยธรรมข้าราชการพลเรือน และเสริมสร้างความโปร่งใสในการปฏิบัติราชการ กรมควบคุมโรค</t>
  </si>
  <si>
    <t>16.1.1.2 การถ่ายทอดองค์ความรู้ในการส่งเสริมการปฏิบัติตามประมวลจริยธรรมข้าราชการพลเรือน และเสริมสร้างความโปร่งใสในการปฏิบัติราชการ กรมควบคุมโรค แก่บุคลากรในสังกัดกรมควบคุมโรค</t>
  </si>
  <si>
    <t>16.1.1.3 การกำกับ ติดตาม ประเมินผล การดำเนินงานด้านการส่งเสริมการปฏิบัติตามประมวลจริยธรรมข้าราชการพลเรือน</t>
  </si>
  <si>
    <t>17.1.1.1 เงินเดือนและค่าจ้างประจำ</t>
  </si>
  <si>
    <t>อัตรา</t>
  </si>
  <si>
    <t>17.1.1.2 ค่าตอบแทนพนักงานราชการ</t>
  </si>
  <si>
    <t>17.1.1.3 ค่าตอบแทน ใช้สอยและวัสดุ (ที่จ่ายในลักษณะเงินเดือน เงินสมทบกองทุนประกันสังคม)</t>
  </si>
  <si>
    <t>18.1.1.1 พัฒนารูปแบบ /เทคโนโลยี /มาตรฐาน /มาตรการ /แนวทาง ด้านการเฝ้าระวังป้องกันควบคุมโรคและภัยสุขภาพ</t>
  </si>
  <si>
    <t>18.1.2.1เสริมสร้างและพัฒนาความร่วมมือและการ
มีส่วนร่วมของเครือข่ายภายในประเทศและระดับพื้นที่</t>
  </si>
  <si>
    <t>18.1.3.1 ผลิตและเผยแพร่สื่อ/คู่มือ/วารสารวิชาการ/ แนวทาง/
มาตรฐานสำหรับบุคลากร</t>
  </si>
  <si>
    <t>18.1.3.2รณรงค์และการสื่อสารความเสี่ยงโรค ภัยสุขภาพ และ
พฤติกรรมที่พึงประสงค์</t>
  </si>
  <si>
    <t>19.1.1.1 พัฒนารูปแบบ/เทคโนโลยี/มาตรฐาน/มาตรการ/
แนวทาง ด้านการเฝ้าระวังป้องกันควบคุมโรคและภัยสุขภาพ</t>
  </si>
  <si>
    <t>19.1.2.1เสริมสร้างและพัฒนาความร่วมมือและการมีส่วนร่วมของเครือข่ายภายในประเทศและระดับพื้นที่</t>
  </si>
  <si>
    <t>19.1.3.1 ผลิตและเผยแพร่สื่อ/ คู่มือ /วารสารวิชาการ
/ แนวทาง /มาตรฐานสำหรับบุคลากร</t>
  </si>
  <si>
    <t>19.1.3.2รณรงค์และการสื่อสารความเสี่ยงโรค ภัยสุขภาพ และ
พฤติกรรมที่พึงประสงค์</t>
  </si>
  <si>
    <t>รวมต้นทุนผลผลิต</t>
  </si>
  <si>
    <t xml:space="preserve">ตารางที่ 7 เปรียบเทียบผลการคำนวณต้นทุนกิจกรรมย่อยแยกตามแหล่งเงิน (ต่อ)  วิเคราะห์สาเหตุของการเปลี่ยนแปลงของต้นทุนต่อหน่วยกิจกรรมย่อย </t>
  </si>
  <si>
    <t xml:space="preserve">                 (อธิบายเฉพาะต้นทุนต่อหน่วยกิจกรรมย่อยที่เปลี่ยนแปลงอย่างมีสาระสำคัญ)</t>
  </si>
  <si>
    <t>เหตุผล : ต้นทุนรวมและต้นทุนต่อหน่วยลดเนื่องจากกรมควบคุมโรคได้รับการจัดสรรประมาณลดลงแต่มีผลงานวิจัยที่เพิ่มขึ้นจำนวน 2 เรื่อง</t>
  </si>
  <si>
    <t>เหตุผล : ต้นทุนรวมและต้นทุนต่อหน่วยลดเนื่องจากกรมควบคุมโรคได้รับการจัดสรรประมาณลดลงและในปีนี้เพิ่มการผลิตเผยแพร่สื่อเพิ่มขึ้นอีก  1 เรื่อง</t>
  </si>
  <si>
    <t>เหตุผล : ต้นทุนรวมและต้นทุนต่อหน่วยลดเนื่องจากกรมควบคุมโรคได้รับการจัดสรรประมาณลดลงและในปีนี้เพิ่มการผลิตเผยแพร่สื่อเพิ่มขึ้นอีก  2 เรื่อง</t>
  </si>
  <si>
    <t>เหตุผล : ต้นทุนรวมและต้นทุนต่อหน่วยลดเนื่องจากกรมควบคุมโรคได้รับการจัดสรรประมาณลดลงและในปีนี้มีปริมาณงานที่เพิ่มขึ้นทำให้ต้นทุนต่อหน่วยลดลง ร้อยละ 57.38</t>
  </si>
  <si>
    <t>เหตุผล : ต้นทุนรวมและต้นทุนต่อหน่วยลดเนื่องจากกรมควบคุมโรคได้รับการจัดสรรประมาณลดลงแต่ยังให้ความสำคัญในการรณรงค์และการสื่อสารความเสี่ยงโรค ภัยสุขภาพ และพฤติกรรมที่พึงประสงค์</t>
  </si>
  <si>
    <t>เหตุผล : ต้นทุนรวมและต้นทุนต่อหน่วยลดเนื่องจากกรมควบคุมโรคได้รับการจัดสรรประมาณลดลงและในปีนี้มีปริมาณงานที่เพิ่มขึ้นทำให้ต้นทุนต่อหน่วยลดลง ร้อยละ 56.41</t>
  </si>
  <si>
    <t>เหตุผล : ต้นทุนรวมลดเนื่องจากกรมควบคุมโรคได้รับการจัดสรรประมาณลดลงและในปีนี้มีปริมาณงานที่เพิ่มขึ้นทำให้ต้นทุนต่อหน่วยลดลง ร้อยละ 70.40</t>
  </si>
  <si>
    <t>เหตุผล : ต้นทุนรวมและต้นทุนต่อหน่วยลดเนื่องจากกรมควบคุมโรคได้รับการจัดสรรประมาณลดลงและในปีนี้มีปริมาณงานที่เพิ่มขึ้นทำให้ต้นทุนต่อหน่วยลดลง ร้อยละ 68.05</t>
  </si>
  <si>
    <t>เหตุผล : ต้นทุนรวมและต้นทุนต่อหน่วยเพิ่ม เนื่องจากปีงบประมาณ พ.ศ. 2562 สนับสนุนการพัฒนาศักยภาพบุคคลเพื่อสนับสนุนการสร้างผลิตภัณฑ์ด้านการเฝ้าระวังฯ</t>
  </si>
  <si>
    <t>เหตุผล : ต้นทุนรวมเพิ่มขึ้น เนื่องจากปีงบประมาณ พ.ศ. 2562 สนับสนุนการ การบริหารจัดการเพื่อสนันสนุนการสร้างผลิตภัณฑ์ด้านการเฝ้าระวัง ส่วนต้นทุนต่อหน่วยลดลงเนื่องจากมีปริมาณงานที่เพิ่มขึ้น</t>
  </si>
  <si>
    <t>เหตุผล : ต้นทุนรวมและต้นทุนต่อหน่วยลดเนื่องจากกรมควบคุมโรคได้รับการจัดสรรประมาณลดลงและในปีนี้มีปริมาณงานที่เพิ่มขึ้นทำให้ต้นทุนต่อหน่วยลดลง ร้อยละ 66.83</t>
  </si>
  <si>
    <t>เหตุผล : ต้นทุนรวมและต้นทุนต่อหน่วยลดเนื่องจากกรมควบคุมโรคได้รับการจัดสรรประมาณลดลงและในปีนี้มีปริมาณงานที่เพิ่มขึ้นทำให้ต้นทุนต่อหน่วยลดลง ร้อยละ 64.44</t>
  </si>
  <si>
    <t>เหตุผล : ต้นทุนรวมและต้นทุนต่อหน่วยลดเนื่องจากกรมควบคุมโรคได้รับการจัดสรรประมาณลดลงและในปีนี้มีปริมาณงานที่เพิ่มขึ้นทำให้ต้นทุนต่อหน่วยลดลง ร้อยละ 67.50</t>
  </si>
  <si>
    <t>ตารางเปรียบเทียบผลการคำนวณต้นทุนผลผลิตระหว่างปีงบประมาณ พ.ศ. 2561 และ ปีงบประมาณ พ.ศ. 2562</t>
  </si>
  <si>
    <t>ตารางที่ 8 เปรียบเทียบผลการคำนวณต้นทุนผลผลิตย่อยแยกตามแหล่งเงิน</t>
  </si>
  <si>
    <t>ผลผลิตย่อย</t>
  </si>
  <si>
    <t>ต้นทุนผลผลิตประจำปีงบประมาณ พ.ศ. 2561 (ต.ค. 60 - ก.ย 61)</t>
  </si>
  <si>
    <t>ต้นทุนผลผลิตประจำปีงบประมาณ พ.ศ. 2562 (ต.ค. 61 - ก.ย 62)</t>
  </si>
  <si>
    <t>เงินนอก
งบประมาณ</t>
  </si>
  <si>
    <t xml:space="preserve">ปริมาณ </t>
  </si>
  <si>
    <t xml:space="preserve">1.1.1 การวิจัย พัฒนา รูปแบบ/เทคโนโลยี/ มาตรฐาน / มาตรการ / แนวทาง ด้านการเฝ้าระวัง ป้องกัน ควบคุมโรค และภัยสุขภาพ  </t>
  </si>
  <si>
    <t>1.1.2 การประเมินผลตามมาตรฐานที่ได้รับการยอมรับตามมาตรฐาน</t>
  </si>
  <si>
    <t xml:space="preserve">1.1.3 การจัดการถ่ายทอดองค์ความรู้เทคโนโลยี การพัฒนาวิชาการและสร้างเครือข่ายความร่วมมือด้านวิชาการแพทย์และสาธารณสุข </t>
  </si>
  <si>
    <t>ปีงบประมาณ พ.ศ.2561 ไม่มีผลผลิตย่อยนี้</t>
  </si>
  <si>
    <t>1.1.5 การพัฒนาคุณภาพระบบบริหารจัดการองค์กรเพื่อสนับสนุนการสร้างผลิตภัณฑ์ด้านการเฝ้าระวังฯ</t>
  </si>
  <si>
    <t>1.2.1 การจัดการความรู้การแลกเปลี่ยนเรียนรู้ผลงานวิชาการของการเฝ้าระวัง ป้องกัน ควบคุมโรค และภัยสุขภาพ</t>
  </si>
  <si>
    <t>2.1.1 การพัฒนาระบบเฝ้าระวังโรค และภัยสุขภาพ</t>
  </si>
  <si>
    <t>2.1.2 การพัฒนาคุณภาพระบบบริหารจัดการองค์กร เพื่อสนับสนุนการเสริมสร้างศักยภาพเครีอข่ายเฝ้าระวังป้องกัน ควบคุมโรคและภัยสุขภาพ</t>
  </si>
  <si>
    <t>2.1.3 การพัฒนาคุณภาพระบบบริหาร</t>
  </si>
  <si>
    <t>2.2.1 เครือข่ายความร่วมมือในการเฝ้าระวัง ป้องกัน ควบคุมโรคและภัยสุขภาพ ภายในประเทศและระดับพื้นที่</t>
  </si>
  <si>
    <t>2.2.2 เครือข่ายการร่วมมือการดำเนินงาน เฝ้าระวัง ป้องกัน ควบคุมโรคและภัยสุขภาพระหว่างประเทศ (ระดับนานาชาติ)</t>
  </si>
  <si>
    <t>2.2.3 การพัฒนาคุณภาพระบบบริหารจัดการองค์กร เพื่อสนับสนุนการเสริมสร้างความมีส่วนร่วมของเครือข่าย</t>
  </si>
  <si>
    <t>2.3.1 รายงานการแก้ไขปัญหามลพิษและเสริมสร้างคุณภาพชีวิตจังหวัดระยอง</t>
  </si>
  <si>
    <t xml:space="preserve">2.4.1 มาตรฐานความพร้อมรับภัยพิบัติ (Disaster) และโรคระบาดระดับประเทศ </t>
  </si>
  <si>
    <t xml:space="preserve">2.4.2 เครือข่ายการสอบสวนเคลื่อนที่เร็ว (SRRT) </t>
  </si>
  <si>
    <t>2.5.1 เทคโนโลยีสารสนเทศและการสื่อสารด้านการป้องกันควบคุมโรคและภัยสุขภาพ</t>
  </si>
  <si>
    <t>2.6.1การผลิตและพัฒนากำลังคัน</t>
  </si>
  <si>
    <t xml:space="preserve">3.1.1  ประชาชนได้รับบริการป้องกัน ควบคุมโรคและภัยสุขภาพ </t>
  </si>
  <si>
    <t>3.2.1 การเฝ้าระวังและตอบโต้ข้อมูลข่าวสารเรื่องโรคและภัยสุขภาพ และพฤติกรรมที่ไม่พึงประสงค์</t>
  </si>
  <si>
    <t>3.2.2 การสื่อสารสาธารณะและการพัฒนาพฤติกรรมสุขภาพ</t>
  </si>
  <si>
    <t>3.2.3 การพัฒนาภาคีเครือข่ายที่เกี่ยวข้อง</t>
  </si>
  <si>
    <t>3.2.4 การพัฒนาระบบสื่อสารสาธารณะฯ</t>
  </si>
  <si>
    <t xml:space="preserve">3.2.5 การประเมินผลการดำเนินงานตามยุทธศาสตร์ที่ </t>
  </si>
  <si>
    <t>4.1.1  ประชาชนได้รับบริการรักษาและฟื้นฟูสภาพเฉพาะโรคในกลุ่มโรคติดต่อสำคัญ โรคอุบัติใหม่และภัยสุขภาพ</t>
  </si>
  <si>
    <t>4.1.2 คุณภาพระบบบริหารจัดการองค์กรเพื่อสนับสนุนการบริการรักษาและฟื้นฟูสภาพเฉพาะโรค ในกลุ่มโรคติดต่อสำคัญ โรคอุบัติใหม่ และภัยสุขภาพ</t>
  </si>
  <si>
    <t>5.1.1 ประชาชนได้รับบริการป้องกัน ควบคุมโรคไข้มาลาเรีย</t>
  </si>
  <si>
    <t>5.1.2 ประชาชนได้รับบริการรักษาฟื้นฟูสภาพเฉพาะโรคไข้มาลาเรีย</t>
  </si>
  <si>
    <t>5.1.3 กลไกและเครื่องมือสนับสนุนระบบบริการป้องกันโรคไข้มาลาเรีย</t>
  </si>
  <si>
    <t>5.1.4 กลไกและเครื่องมือสนับสนุนระบบควบคุมโรคไข้มาลาเรีย</t>
  </si>
  <si>
    <t>5.1.5 เครือช่ายความร่วมมือในการป้องกัน ควบคุมโรคไข้มาลาเรีย (ระดับพื้นที่/ระดับนานาชาติ/นานาชาติ)</t>
  </si>
  <si>
    <t>5.1.6 การพยากรณ์โรคและภัยสุขภาพที่มีคุณภาพ</t>
  </si>
  <si>
    <t>5.1.7 การสื่อสารความเสี่ยงและพัฒนาพฤติกรรมสุขภาพ</t>
  </si>
  <si>
    <t>5.1.8 การพัฒนาภาคคีเครือข่ายที่เกี่ยวข้อง</t>
  </si>
  <si>
    <t>5.1.9 การพัฒนาคุณภาพระบบบริหารจัดการองค์กรเพื่อสนับสนุนการสร้างผลิตภัณฑ์ด้านการเฝ้าระวังฯ</t>
  </si>
  <si>
    <t>5.2.1 ประชาชนได้รับบริการป้องกันควบคุมโรค</t>
  </si>
  <si>
    <t>5.2.2 ประชาชนได้รับบริการรักษาและฟื้นฟูสภาพเฉพาะวัณโรค</t>
  </si>
  <si>
    <t>5.2.3 กลไกและเครื่องมือสนับสนุนระบบบริการป้องกัน</t>
  </si>
  <si>
    <t>5.2.4 กลไกและเครื่องมือสนับสนุนระบบควบคุมวัณโรค</t>
  </si>
  <si>
    <t xml:space="preserve">5.2.5 เครือข่ายความร่วมมือในการป้องกัน ควบคุมวัณโรค (ระดับพื้นที่/ระดับชาติ/นานาชาติ) </t>
  </si>
  <si>
    <t>5.2.6 การพยากรณ์โรคและภัยสุขภาพที่มีคุณภาพ</t>
  </si>
  <si>
    <t>5.2.7 การสื่อสารความเสี่ยงและพัฒนาฤติกรรมสุขภาพ</t>
  </si>
  <si>
    <t>5.2.8 การพัฒนาภาคีเครือข่ายที่เกี่ยวข้อง</t>
  </si>
  <si>
    <t xml:space="preserve">5.2.9 การพัฒนาคุณภาพระบบบริหารจัดการองค์กรเพื่อสนับสนุนการสร้างผลิตภัณฑ์ด้านการเฝ้าระวังฯ </t>
  </si>
  <si>
    <t>5.3.1 ประชาชนได้รับบริการป้องกัน ควบคุมโรคเอดส์และโรคติดต่อทางเพศสัมพันธ์</t>
  </si>
  <si>
    <t>5.3.2 ประชาชนได้รับบริการรักษาและฟื้นฟูสภาพเฉพาะโรคเอดส์และโรคติดต่อทางเพศสัมพันธ์</t>
  </si>
  <si>
    <t>5.3.3 กลไกและเครื่องมือสนับสนุนการเฝ้าระวังป้องกันควบคุมโรคเอดส์และโรคติดต่อทางเพศสัมพันธ์</t>
  </si>
  <si>
    <t xml:space="preserve">5.3.4 เครือข่ายความร่วมมือในการป้องกัน ควบคุมโรคเอดส์ (ระดับพื้นที่/ระดับชาติ/นานาชาติ) </t>
  </si>
  <si>
    <t>5.3.5 ประชาชนได้รับบริการรักษาและฟื้นฟูสภาพเฉพาะโรคเอดส์และโรคติดต่อทางเพศสัมพันธ์</t>
  </si>
  <si>
    <t>5.3.6 การพยากรณ์โรคและภัยสุขภาพที่มีคุณภาพ</t>
  </si>
  <si>
    <t>5.3.7 การสื่อสารความเสี่ยงและพัฒนาพฤติกรรมสุขภาพ</t>
  </si>
  <si>
    <t>5.3.8 การพัฒนาภาคีเครือข่ายที่เกี่ยวข้อง</t>
  </si>
  <si>
    <t>5.3.9 การพัฒนาคุณภาพระบบบริหารจัดการองค์กรเพื่อสนับสนุนการสร้าง
ผลิตภัณฑ์ด้านการเฝ้าระวังฯ</t>
  </si>
  <si>
    <t>6.1.1 ช่องทางเข้าออกประเทศมีการพัฒนาสมรรถนะตามแนวทางของกฎอนามัยระหว่างประเทศ พ.ศ. 2548 (IHR 2005)</t>
  </si>
  <si>
    <t>6.1.2 จังหวัดชายแดนและจังหวัดคู่ขนานกับประเทศเพื่อนบ้านมีระบบเฝ้าระวัง ป้องกัน ควบคุมโรคติดต่อ โรคอุบัติใหม่ และภัยสุขภาพ</t>
  </si>
  <si>
    <t>6.1.3 การขับเคลื่อน IHR ผ่านเกณฑ์มาตรฐานที่กำหนด</t>
  </si>
  <si>
    <t>6.1.4 การพัฒนางานเวชศาสตร์ การเดินทางและท่องเที่ยว</t>
  </si>
  <si>
    <t>6.1.5 เครือข่ายแพทย์ระบาดวิทยา</t>
  </si>
  <si>
    <t>6.1.6 เครือข่ายเวชศาสตร์การเดินทางและท่องเที่ยว</t>
  </si>
  <si>
    <t>6.2.1 ศูนย์กลางการศึกษาและฝึกอบรมด้านการป้องกัน ควบคุมโรค และภัยสุขภาพระดับนานาชาติ</t>
  </si>
  <si>
    <t>6.2.2 การพัฒนาหลักสูตรฝึกอบรม</t>
  </si>
  <si>
    <t>6.2.3 การฝึกอบรมบุคลากรในการป้องกันควบคุมโรคและภัยสุขภาพ</t>
  </si>
  <si>
    <t>7.1.1 กลไกและเครื่องมือสนับสนุนระบบบริการป้องกัน ควบคุมโรคและภัยสุขภาพกลุ่มวัยเด็ก</t>
  </si>
  <si>
    <t>7.1.2 การพัฒนาระบบเฝ้าระวังโรคและภัยสุขภาพ</t>
  </si>
  <si>
    <t>8.1.1 กลไกและเครื่องมือสนับสนุนระบบบริการป้องกัน ควบคุมโรคและภัยสุขภาพกลุ่มวัยเรียน</t>
  </si>
  <si>
    <t>8.1.2 การพัฒนาระบบเฝ้าระวังโรคและภัยสุขภาพ</t>
  </si>
  <si>
    <t>9.1.1 กลไกและเครื่องมือสนับสนุนระบบบริการป้องกัน ควบคุมโรคและภัยสุขภาพกลุ่มวัยรุ่น</t>
  </si>
  <si>
    <t>9.1.2 การพัฒนาระบบเฝ้าระวังโรคและภัยสุขภาพ</t>
  </si>
  <si>
    <t>10.1.1 กลไกและเครื่องมือสนับสนุนระบบบริการป้องกัน ควบคุมโรคและภัยสุขภาพกลุ่มวัยทำงาน</t>
  </si>
  <si>
    <t>10.1.2 การพัฒนาระบบเฝ้าระวังโรคและภัยสุขภาพ</t>
  </si>
  <si>
    <t>11.1.1 ช่องทางเข้าออกระหว่างประเทศที่รองรับเขตพัฒนาเศรษฐกิจพิเศษได้รับการพัฒนาตามแนวทางกฎอนามัยระหว่างประเทศ พ.ศ. 2548</t>
  </si>
  <si>
    <t>11.1.2 จังหวัดชายแดนที่รองรับเขตพัฒนาเศรษฐกิจได้รับการพัฒนาระบบเฝ้าระวัง ป้องกัน ควบคุมโรคติดต่อตามแนวชายแดนตามมาตรฐานที่กำหนด</t>
  </si>
  <si>
    <t>12.1.1 มาตรฐานความพร้อมรับภัยพิบัติ (Disaster)และโรคระบาดระดับประเทศ</t>
  </si>
  <si>
    <t>12.1.2 เทคโนโลยีสารสนเทศและการสื่อสารด้านการป้องกัน ควบคุมโรคและภัยสุขภาพ</t>
  </si>
  <si>
    <t>13.1.1 การวิจัย/พัฒนา ด้านการเฝ้าระวัง ป้องกัน ควบคุมโรค และภัยสุขภาพ</t>
  </si>
  <si>
    <t>14.1.1 ระบบเฝ้าระวังด้านสุขภาพของประชาชนและผู้สัมผัสขยะ</t>
  </si>
  <si>
    <t>14.1.2 การพัฒนาระบบเฝ้าระวังโรคและภัยสุขภาพ</t>
  </si>
  <si>
    <t>15.1.1 ระบบเฝ้าระวังด้านสุขภาพจากมลพิษทางอากาศ</t>
  </si>
  <si>
    <t>15.1.2 การพัฒนาระบบเฝ้าระวังโรคและภัยสุขภาพ</t>
  </si>
  <si>
    <t>16.1.1 บุคลากรกรควบคุมโรคได้รับการส่งเสริมการปฏิบัติงานที่ดีตามประมวลจริยธรรมข้าราชการพลเรือน</t>
  </si>
  <si>
    <t>16.1.1 ระบบเฝ้าระวังด้านสุขภาพจากมลพิษทางอากาศ</t>
  </si>
  <si>
    <t>16.1.2 การพัฒนาระบบเฝ้าระวังโรคและภัยสุขภาพ</t>
  </si>
  <si>
    <t>16.2.1 ระบบเฝ้าระวังด้านสุขภาพจากมลพิษทางอากาศ</t>
  </si>
  <si>
    <t>16.2.2 การพัฒนาระบบเฝ้าระวังโรคและภัยสุขภาพ</t>
  </si>
  <si>
    <t>18.1.1 เงินเดือนและค่าจ้างประจำ ค่าตอบแทน ใช้สอยและวัสดุ</t>
  </si>
  <si>
    <t>18.1.1 รูปแบบ/เทคโนโลยี/มาตรฐาน/แนวทางด้านการเฝ้าระวังป้องกันควบคุมโรคและภัยสุขภาพ</t>
  </si>
  <si>
    <t>18.1.2 เครือข่ายความร่วมมือในการเฝ้าระวังป้องกันควบคุมโรคและภัยสุขภาพภายในประเทศและระดับพื้นที่</t>
  </si>
  <si>
    <t>18.1.3 ถ่ายทอดความรู้ในการดูแลสุขภาพ เฝ้าระวัง ป้องกันควบคุมโรคภัยสุขภาพ</t>
  </si>
  <si>
    <t>19.1.1 รูปแบบ/เทคโนโลยี/มาตรฐาน/แนวทางด้านการเฝ้าระวังป้องกันควบคุมโรคและภัยสุขภาพ</t>
  </si>
  <si>
    <t>19.1.2 เครือข่ายความร่วมมือในการเฝ้าระวังป้องกันควบคุมโรคและภัยสุขภาพภายในประเทศและระดับพื้นที่</t>
  </si>
  <si>
    <t>19.1.3 ถ่ายทอดความรู้ในการดูแลสุขภาพ เฝ้าระวัง ป้องกันควบคุมโรค ภัยสุขภาพ</t>
  </si>
  <si>
    <t>รวม</t>
  </si>
  <si>
    <t xml:space="preserve">ตารางที่ 8 เปรียบเทียบผลการคำนวณต้นทุนผลผลิตย่อยแยกตามแหล่งเงิน (ต่อ)  วิเคราะห์สาเหตุของการเปลี่ยนแปลงของต้นทุนต่อหน่วยผลผลิตย่อย </t>
  </si>
  <si>
    <t xml:space="preserve">                 (อธิบายเฉพาะต้นทุนต่อหน่วยผลผลิตย่อยที่เปลี่ยนแปลงอย่างมีสาระสำคัญ)</t>
  </si>
  <si>
    <t>เหตุผล : ต้นทุนรวมเพิ่มขึ้น เนื่องจากปีงบประมาณ พ.ศ. 2562 กรมสนับสนุนการพยากรณ์โรคและภัยสุขภาพที่มีคุณภาพ  ส่วนต้นทุนต่อหน่วยลดลงเนื่องจากมีปริมาณงานที่เพิ่มขึ้น คิดเป็นร้อยละ 61.59</t>
  </si>
  <si>
    <t>เหตุผล : ต้นทุนรวมและต้นทุนต่อหน่วยลดเนื่องจากกรมควบคุมโรคได้รับการจัดสรรประมาณลดลงและในปีนี้มีปริมาณงานที่เพิ่มขึ้นทำให้ต้นทุนต่อหน่วยลดลง ร้อยละ 68.86</t>
  </si>
  <si>
    <t>เหตุผล : ต้นทุนรวมและต้นทุนต่อหน่วยเพิ่ม เนื่องจากปีงบประมาณ พ.ศ. 2562 กรมสนับสนุนในเรื่องเครือข่ายความร่วมมือในการป้องกัน ควบคุมโรคเอดส์ (ระดับพื้นที่/ระดับชาติ/นานาชาติ)</t>
  </si>
  <si>
    <t>เหตุผล : ต้นทุนรวมและต้นทุนต่อหน่วยเพิ่ม เนื่องจากปีงบประมาณ พ.ศ. 2562 กรมสนับสนุนให้ ประชาชนได้รับบริการรักษาและฟื้นฟูสภาพเฉพาะโรคเอดส์และโรคติดต่อทางเพศสัมพันธ์</t>
  </si>
  <si>
    <t>เหตุผล : ต้นทุนรวมลดเนื่องจากกรมควบคุมโรคได้รับการจัดสรรประมาณลดลงและในปีนี้มีปริมาณงานที่เพิ่มขึ้นทำให้ต้นทุนต่อหน่วยลดลง ร้อยละ 79.95</t>
  </si>
  <si>
    <t>เหตุผล : ต้นทุนรวมเพิ่มขึ้น เนื่องจากปีงบประมาณ พ.ศ. 2562 สนับสนุนการขับเคลื่อน IHR ผ่านเกณฑ์มาตรฐานที่กำหนด  ส่วนต้นทุนต่อหน่วยลดลง 66.44 เนื่องจากมีปริมาณงานที่เพิ่มขึ้น</t>
  </si>
  <si>
    <t>ตารางที่ 9  เปรียบเทียบผลการคำนวณต้นทุนกิจกรรมหลักแยกตามแหล่งเงิน</t>
  </si>
  <si>
    <t>กิจกรรมหลัก</t>
  </si>
  <si>
    <t>เงินใน
งบประมาณ</t>
  </si>
  <si>
    <t xml:space="preserve">1.1 พัฒนาและสนับสนุนกระบวนการจัดทำผลิตภัณฑ์และจัดการความรู้ของหน่วยงานทั้งภายในและภายนอกกรม เพื่อการเฝ้าระวัง ป้องกัน ควบคุมโรค และภัยสุขภาพ 
</t>
  </si>
  <si>
    <t xml:space="preserve">1.2 จัดการความรู้ด้านป้องกันโรคและภัยสุขภาพ </t>
  </si>
  <si>
    <t xml:space="preserve">2.1 พัฒนาและบริหารจัดการระบบเฝ้าระวังป้องกันควบคุมโรคและภัยสุขภาพ </t>
  </si>
  <si>
    <t xml:space="preserve">2.2 เสริมสร้างศักยภาพ พัฒนา ความร่วมมือและสร้างการมีส่วนร่วมของเครือข่ายในการเฝ้าระวัง ป้องกัน ควบคุมโรค และภัยสุขภาพ </t>
  </si>
  <si>
    <t xml:space="preserve">2.3 แก้ไขปัญหามลพิษและเสริมสร้างคุณภาพชีวิตในพื้นที่มาบตาพุด และบริเวณใกล้เคียง จังหวัดระยอง </t>
  </si>
  <si>
    <t xml:space="preserve">2.4 พัฒนาระบบบริหารจัดการและเตรียมความพร้อมตอบโต้ภาวะฉุกเฉินทางสาธารณสุข </t>
  </si>
  <si>
    <t xml:space="preserve">2.5 พัฒนาและให้บริการด้านเทคโนโลยีสารสนเทศและการสื่อสารด้านการป้องกัน ควบคุมโรค และภัยสุขภาพ </t>
  </si>
  <si>
    <t>2.6ผลิตและพัฒนากำลังคนด้านการเฝ้าระวัง ป้องกันควบคุมโรคและภัยสุขภาพ</t>
  </si>
  <si>
    <t xml:space="preserve">3.1  บริการเฝ้าระวัง ป้องกัน ควบคุมโรคและภัยสุขภาพที่เป็นปัญหารุนแรงและกลุ่มเป้าหมายพิเศษ </t>
  </si>
  <si>
    <t xml:space="preserve">3.2 ถ่ายทอดความรู้ในการดูแลสุขภาพ เฝ้าระวัง ป้องกัน ควบคุมโรค ภัยสุขภาพและการปรับปลี่ยนพฤติกรรมที่มีคุณภาพ </t>
  </si>
  <si>
    <t xml:space="preserve">4.1 บริการรักษาและฟื้นฟูสภาพเฉพาะโรค ในกลุ่มโรคติดต่อสำคัญ โรคอุบัติใหม่ และภัยสุขภาพของหน่วยงานเพื่อสร้างมาตรฐานระบบบริการ </t>
  </si>
  <si>
    <t xml:space="preserve">5.1 เร่งรัดกำจัดโรคไข้มาลาเรีย </t>
  </si>
  <si>
    <t xml:space="preserve">5.2 ควบคุมวัณโรค </t>
  </si>
  <si>
    <t xml:space="preserve">5.3 ป้องกันและแก้ไขปัญหาเอดส์ </t>
  </si>
  <si>
    <t>6.1 พัฒนาสมรรถนะด่านช่องทางเข้าออกประเทศ และจังหวัดชายแดน</t>
  </si>
  <si>
    <t xml:space="preserve">6.2 พัฒนาศูนย์กลางการศึกษาและฝึกอบรมด้านการป้องกัน ควบคุมโรค และภัยสุขภาพระดับนานาชาติ </t>
  </si>
  <si>
    <t xml:space="preserve">7.1 พัฒนาและสนับสนุนการดำเนินงานป้องกันควบคุมโรคติดต่อและสร้างเสริมภูมิคุ้มกันโรคในกลุ่มวัยเด็ก </t>
  </si>
  <si>
    <t xml:space="preserve">8.1 พัฒนาสนับสนุนการดำเนินงานเฝ้าระวัง ป้องกันควบคุมโรคและพัฒนาทักษะชีวิตในกลุ่มวัยเรียน </t>
  </si>
  <si>
    <t xml:space="preserve">9.1 พัฒนาและขับเคลื่อนกฎหมายเพื่อลดพฤติกรรมเสี่ยงใน
กลุ่มวัยรุ่น </t>
  </si>
  <si>
    <t xml:space="preserve">10.1 พัฒนาและสนับสนุนการดำเนินงานเฝ้าระวัง ป้องกัน
ควบคุมโรคไม่ติดต่อเรื้อรังและปัจจัยเสี่ยงในกลุ่มวัยทำงาน </t>
  </si>
  <si>
    <t xml:space="preserve">11.1 พัฒนาสมรรถนะช่องทางเข้าออกระหว่างประเทศและจังหวัดชายแดนเพื่อรองรับเขตพัฒนาเศรษฐกิจพิเศษ </t>
  </si>
  <si>
    <t>12.1 การพัฒนาระบบสารสนเทศและการสื่อสารเพื่อเชื่อมโยง
ข้อมูลในการเฝ้าระวัง ป้องกันควบคุมโรคและภัยสุขภาพ</t>
  </si>
  <si>
    <t xml:space="preserve">13.1 ส่งเสริม สนับสนุน และยกระดับการวิจัยและพัฒนาด้านการป้องกันควบคุมโรคและภัยสุขภาพ </t>
  </si>
  <si>
    <t xml:space="preserve">14.1 สนับสนุนการเฝ้าระวังป้องกัน ควบคุมโรคและภัยสุขภาพของประชาชนและผู้สัมผัสขยะ </t>
  </si>
  <si>
    <t>15.1 สนับสนุนการเฝ้าระวังป้องกัน ควบคุมโรคและภัยสุขภาพ
จากมลพิษทางอากาศ</t>
  </si>
  <si>
    <t>16.1 ส่งเสริมการปฏิบัติตามประมวลจริยธรรม ข้าราชการพลเรือน และเสริมสร้างความโปร่งใสในการปฏิบัติราชการ กรมควบคุมโรค</t>
  </si>
  <si>
    <t xml:space="preserve">17.1 ค่าใช้จ่ายบุคลากรในการเฝ้าระวัง ป้องกันควบคุมโรคและภัยสุขภาพ </t>
  </si>
  <si>
    <t>18.1 พัฒนาระบบเฝ้าระวังป้องกันควบคุมโรคและภัยสุขภาพในพื้นที่ระเบียบเศรษฐกิจภาคตะวันออก</t>
  </si>
  <si>
    <t>19.1 สนับสนุนการเฝ้าระวังป้องกันควบคุมโรคพิษสุนัขบ้า</t>
  </si>
  <si>
    <t>ปีงบประมาณ พ.ศ.2562 ไม่มีกิจกรรมหลักนี้</t>
  </si>
  <si>
    <t xml:space="preserve">ตารางที่ 9 เปรียบเทียบผลการคำนวณต้นทุนกิจกรรมหลักแยกตามแหล่งเงิน (ต่อ)  วิเคราะห์สาเหตุของการเปลี่ยนแปลงของต้นทุนต่อหน่วยกิจกรรมหลัก </t>
  </si>
  <si>
    <t xml:space="preserve">                 (อธิบายเฉพาะต้นทุนต่อหน่วยกิจกรรมหลักที่เปลี่ยนแปลงอย่างมีสาระสำคัญ)</t>
  </si>
  <si>
    <t xml:space="preserve">เหตุผล : ต้นทุนรวมและต้นทุนต่อหน่วยเพิ่ม เนื่องจากปีงบประมาณ พ.ศ. 2562 กรมสนับสนุนในเรื่องพัฒนาและสนับสนุนกระบวนการจัดทำผลิตภัณฑ์และจัดการความรู้ของหน่วยงานทั้งภายในและภายนอกกรม เพื่อการเฝ้าระวัง ป้องกัน ควบคุมโรค และภัยสุขภาพ 
</t>
  </si>
  <si>
    <t xml:space="preserve">เหตุผล : ต้นทุนรวมและต้นทุนต่อหน่วยเพิ่ม เนื่องจากปีงบประมาณ พ.ศ. 2562 กรมสนับสนุนในเรื่องพัฒนาและขับเคลื่อนกฎหมายเพื่อลดพฤติกรรมเสี่ยงใน
กลุ่มวัยรุ่น 
</t>
  </si>
  <si>
    <t>เหตุผล : ต้นทุนรวมลดเนื่องจากกรมควบคุมโรคได้รับการจัดสรรประมาณลดลงและในปีนี้มีปริมาณงานที่เพิ่มขึ้นทำให้ต้นทุนต่อหน่วยลดลง ร้อยละ 54.25</t>
  </si>
  <si>
    <t>ตารางที่ 10  เปรียบเทียบผลการคำนวณต้นทุนผลผลิตหลักแยกตามแหล่งเงิน</t>
  </si>
  <si>
    <t>ผลผลิตหลัก</t>
  </si>
  <si>
    <t xml:space="preserve">1. ผลิตภัณฑ์ด้านการเฝ้าระวัง ป้องกัน ควบคุมโรค และภัยสุขภาพ </t>
  </si>
  <si>
    <t>2. การสนับสนุนเสริมสร้างศักยภาพและความเข้มแข็งในการจัดการระบบเฝ้าระวัง ป้องกัน ควบคุมโรคและภัยสุขภาพ</t>
  </si>
  <si>
    <t xml:space="preserve">3. การเฝ้าระวัง ป้องกัน ควบคุมโรคที่เป็นปัญหาสำคัญ </t>
  </si>
  <si>
    <t>4. การบริการรักษาและฟื้นฟูสภาพเฉพาะโรค ในกลุ่มโรคติดต่อสำคัญ โรคอุบัติใหม่และภัยสุขภาพ</t>
  </si>
  <si>
    <t>5. โครงการเร่งรัดกำจัดโรคไข้มาลาเรียวัณโรค และยุติปัญหาเอดส์</t>
  </si>
  <si>
    <t>6. โครงการเฝ้าระวัง ป้องกันควบคุมโรคติดต่อ โรคอุบัติใหม่และภัยสุขภาพที่เชื่อมโยงในระดับภูมิภาค</t>
  </si>
  <si>
    <t>7. โครงการสนับสนุนการเฝ้าระวัง ป้องกันควบคุมโรคติดต่อและ
สร้างเสริมภูมิคุ้มกันโรคในกลุ่มวัยเด็ก</t>
  </si>
  <si>
    <t>8. โครงการเฝ้าระวัง ป้องกันควบคุมโรคและพัฒนาทักษะชีวิตในกลุ่มวัยเรียน</t>
  </si>
  <si>
    <t>9. โครงการพัฒนาขับเคลื่อนกฎหมายและเฝ้าระวัง ป้องกันควบคุมโรคและภัยสุขภาพในกลุ่มวัยรุ่น</t>
  </si>
  <si>
    <t>10. โครงการเฝ้าระวังป้องกันควบคุมโรคไม่ติดต่อเรื้อรังและปัจจัยเสี่ยงในกลุ่มวัยทำงาน</t>
  </si>
  <si>
    <t>11. โครงการเฝ้าระวังป้องกันควบคุมโรคติดต่อ โรคอุบัติใหม่และภัยสุขภาพ ที่เชื่อมโยงกับเขตเศรษฐกิจพิเศษ</t>
  </si>
  <si>
    <t>12. โครงการพัฒนาระบบสารสนเทศเพื่อรองรับการเฝ้าระวัง ป้องกันควบคุมโรคและภัยสุขภาพ</t>
  </si>
  <si>
    <t>13. การวิจัย และพัฒนาด้านการป้องกัน ควบคุมโรค และภัยสุขภาพ</t>
  </si>
  <si>
    <t>14. โครงการเฝ้าระวังป้องกันควบคุมโรคและภัยสุขภาพของประชาชนผู้สัมผัสขยะ</t>
  </si>
  <si>
    <t>15. โครงการเฝ้าระวัง ป้องกันควบคุมโรคและภัยสุขภาพจากมลพิษทางอากาศ</t>
  </si>
  <si>
    <t>16. ส่งเสริมให้เกิดระบบการป้องกันปราบปรามการทุจริตและประพฤติมิชอบในภาครัฐ</t>
  </si>
  <si>
    <t>17. รายการค่าใช้จ่ายบุคลากรภาครัฐพัฒนาด้านสาธารณสุข</t>
  </si>
  <si>
    <t>18.โครงการพัฒนาการดำเนินงานการเฝ้าระวังโรคและภัยสุขภาพจากการประกอบอาชีพและสิ่งแวดล้อมในพื้นที่ระเบียงเศรษฐกิจภาคตะวันออก</t>
  </si>
  <si>
    <t>19.โครงการสัตว์ปลอดโรคคนปลอดภัยจากโรคพิษสุนัขบ้า</t>
  </si>
  <si>
    <t>ปีงบประมาณ พ.ศ.2562 ไม่มีผลผลิตหลักนี้</t>
  </si>
  <si>
    <r>
      <t xml:space="preserve">ตารางที่ 10 </t>
    </r>
    <r>
      <rPr>
        <b/>
        <sz val="14"/>
        <rFont val="TH SarabunPSK"/>
        <family val="2"/>
      </rPr>
      <t xml:space="preserve">เปรียบเทียบผลการคำนวณต้นทุนผลผลิตหลักแยกตามแหล่งเงิน (ต่อ)  วิเคราะห์สาเหตุของการเปลี่ยนแปลงของต้นทุนต่อหน่วยผลผลิตหลัก </t>
    </r>
  </si>
  <si>
    <t xml:space="preserve">                  (อธิบายเฉพาะต้นทุนต่อหน่วยผลผลิตหลักที่เปลี่ยนแปลงอย่างมีสาระสำคัญ)</t>
  </si>
  <si>
    <t>เหตุผล : ต้นทุนรวมลดเนื่องจากกรมควบคุมโรคได้รับการจัดสรรประมาณลดลงและในปีนี้มีปริมาณงานที่เพิ่มขึ้นทำให้ต้นทุนต่อหน่วยลดลง ร้อยละ 56.94</t>
  </si>
  <si>
    <t>ตารางที่ 11 รายงานเปรียบเทียบต้นทุนทางตรงตามศูนย์ต้นทุนแยกตามประเภทค่าใช้จ่ายและลักษณะของต้นทุน (คงที่/ผันแปร)</t>
  </si>
  <si>
    <t>ศูนย์ต้นทุน</t>
  </si>
  <si>
    <t>ค่าใช้จ่ายทางตรง ปีงบประมาณ พ.ศ. 2561</t>
  </si>
  <si>
    <t>ค่าใช้จ่ายทางตรง ปีงบประมาณ พ.ศ. 2562</t>
  </si>
  <si>
    <t>ต้นทุนคงที่เพิ่ม/(ลด)%</t>
  </si>
  <si>
    <t>ต้นทุนผันแปรเพิ่ม/(ลด)%</t>
  </si>
  <si>
    <t>ต้นทุนรวมเพิ่ม/(ลด)%</t>
  </si>
  <si>
    <t>ต้นทุนคงที่</t>
  </si>
  <si>
    <t>ต้นทุนผันแปร</t>
  </si>
  <si>
    <t>รหัสศูนย์ต้นทุน</t>
  </si>
  <si>
    <t>ค่าใช้จ่ายบุคลากร</t>
  </si>
  <si>
    <t>ค่าเสื่อมและตัดจำหน่าย</t>
  </si>
  <si>
    <t xml:space="preserve"> ค่าใช้จ่ายค่าจำหน่ายจากการขายสินทรัพย์</t>
  </si>
  <si>
    <t>ค่าใช้จ่ายอื่น ๆ</t>
  </si>
  <si>
    <t>ค่าใช้จ่ายด้านการฝึกอบรม</t>
  </si>
  <si>
    <t>ค่าใช้จ่ายเดินทาง</t>
  </si>
  <si>
    <t>ค่าตอบแทน ใช้สอย วัสดุ และค่าสาธารณูปโภค</t>
  </si>
  <si>
    <t>ค่าใช้จ่ายอุดหนุน</t>
  </si>
  <si>
    <t>ศูนย์ต้นทุนหลัก</t>
  </si>
  <si>
    <t>สำนักระบาดวิทยา</t>
  </si>
  <si>
    <t>สำนักโรคจากการประกอบอาชีพและสิ่งแวดล้อม</t>
  </si>
  <si>
    <t>สำนักโรคติดต่อทั่วไป</t>
  </si>
  <si>
    <t>สำนักโรคติดต่อนำโดยแมลง</t>
  </si>
  <si>
    <t>สำนักโรคไม่ติดต่อ</t>
  </si>
  <si>
    <t>สำนักโรคเอดส์ วัณโรค และโรคติดต่อทางเพศสัมพันธ์</t>
  </si>
  <si>
    <t>สำนักสื่อสารความเสี่ยงและพัฒนาพฤติกรรมสุขภาพ</t>
  </si>
  <si>
    <t>สำนักโรคติดต่ออุบัติใหม่</t>
  </si>
  <si>
    <t>สถาบันวิจัย จัดการความรู้ และมาตรฐานการควบคุมโรค</t>
  </si>
  <si>
    <t>สำนักวัณโรค</t>
  </si>
  <si>
    <t>สำนักงานคณะกรรมการควบคุมเครื่องดื่มแอลกอฮอล์</t>
  </si>
  <si>
    <t>สำนักควบคุมการบริโภคยาสูบ</t>
  </si>
  <si>
    <t>สถาบันเวชศาสตร์ป้องกันศึกษา</t>
  </si>
  <si>
    <t>กองโรคป้องกันด้วยวัคซีน</t>
  </si>
  <si>
    <t>กองควบคุมโรคและภัยสุขภาพในสภาวะฉุกเฉิน</t>
  </si>
  <si>
    <t>สถาบันบำราศนราดูร</t>
  </si>
  <si>
    <t>สถาบันราชประชาสมาสัย</t>
  </si>
  <si>
    <t>สถาบันป้องกันควบคุมโรคเขตเมือง</t>
  </si>
  <si>
    <t>สำนักงานป้องกันควบคุมโรค ที่ 1 จังหวัดเชียงใหม่</t>
  </si>
  <si>
    <t>สำนักงานป้องกันควบคุมโรค ที่ 2 จังหวัดพิษณุโลก</t>
  </si>
  <si>
    <t>สำนักงานป้องกันควบคุมโรค ที่ 3 จังหวัดนครสวรรค์</t>
  </si>
  <si>
    <t>สำนักงานป้องกันควบคุมโรค ที่ 4 จังหวัดสระบุรี</t>
  </si>
  <si>
    <t>สำนักงานป้องกันควบคุมโรค ที่ 5 จังหวัดราชบุรี</t>
  </si>
  <si>
    <t>สำนักงานป้องกันควบคุมโรค ที่ 6 จังหวัดชลบุรี</t>
  </si>
  <si>
    <t>สำนักงานป้องกันควบคุมโรค ที่ 7 จังหวัดขอนแก่น</t>
  </si>
  <si>
    <t>สำนักงานป้องกันควบคุมโรค ที่ 8 จังหวัดอุดรธานี</t>
  </si>
  <si>
    <t>สำนักงานป้องกันควบคุมโรค ที่ 9 จังหวัดนครราชสีมา</t>
  </si>
  <si>
    <t>สำนักงานป้องกันควบคุมโรค ที่ 10 จังหวัดอุบลราชธานี</t>
  </si>
  <si>
    <t>สำนักงานป้องกันควบคุมโรค ที่ 11 จังหวัดนครศรีธรรมราช</t>
  </si>
  <si>
    <t>สำนักงานป้องกันควบคุมโรค ที่ 12 จังหวัดสงขลา</t>
  </si>
  <si>
    <t>ศูนย์พัฒนาวิชาการอาชีวอนามัยและสิ่งแวดล้อม จังหวัดระยอง</t>
  </si>
  <si>
    <t>ศูนย์ต้นทุนสนับสนุน</t>
  </si>
  <si>
    <t>กรมควบคุมโรค</t>
  </si>
  <si>
    <t>กลุ่มตรวจสอบภายใน</t>
  </si>
  <si>
    <t>สำนักงานเลขานุการกรม</t>
  </si>
  <si>
    <t>กองการเจ้าหน้าที่/ศูนย์กฎหมาย/กลุ่มคุ้มครองจริยธรรม</t>
  </si>
  <si>
    <t>กองคลัง</t>
  </si>
  <si>
    <t>กองแผนงาน</t>
  </si>
  <si>
    <t>ศูนย์สารสนเทศ</t>
  </si>
  <si>
    <t>สำนักงานความร่วมมือระหว่างประเทศ</t>
  </si>
  <si>
    <t>กลุ่มพัฒนาระบบบริหาร</t>
  </si>
  <si>
    <t>สำนักงานคณะกรรมการผู้ทรงคุณวุฒิ</t>
  </si>
  <si>
    <t>ศูนย์กฎหมาย</t>
  </si>
  <si>
    <t>กลุ่มคุ้มครองจริยธรรม</t>
  </si>
  <si>
    <t>ตารางที่ 12 รายงานเปรียบเทียบต้นทุนทางอ้อมตามลักษณะของต้นทุน (คงที่/ผันแปร)</t>
  </si>
  <si>
    <t>ต้นทุนทางอ้อม</t>
  </si>
  <si>
    <t>ปีงบประมาณ พ.ศ. 2561</t>
  </si>
  <si>
    <t>ปีงบประมาณ พ.ศ. 2562</t>
  </si>
  <si>
    <t>ค่าตอบแทน ใช้สอย ค่าวัสดุ และค่าสาธารณูปโภค</t>
  </si>
  <si>
    <t>ค่าเสื่อมราคา-อาคาร</t>
  </si>
  <si>
    <t xml:space="preserve">ตารางที่ 11 รายงานเปรียบเทียบต้นทุนทางตรงตามศูนย์ต้นทุนแยกตามประเภทค่าใช้จ่ายและลักษณะของต้นทุน (คงที่/ผันแปร) (ต่อ) </t>
  </si>
  <si>
    <t>วิเคราะห์สาเหตุของการเปลี่ยนแปลงของต้นทุนทางตรงตามศูนย์ต้นทุนแยกตามประเภทค่าใช้จ่ายและลักษณะของต้นทุน(คงที่/ผันแปร) (อธิบายเฉพาะศูนย์ต้นทุนที่เปลี่ยนแปลงอย่างมีสาระสำคัญ)</t>
  </si>
  <si>
    <t>ค่าใช้จ่ายทางตรง ต้นทุนคงที่ วิเคราะห์สาเหตุการเปลี่ยนแปลงได้ดังนี้</t>
  </si>
  <si>
    <t xml:space="preserve">1. ค่าใช้จ่ายบุคลากร ปี 2562 เพิ่มขึ้นเพียงเล็กน้อยเมื่อเทียบกับปี 2561 หน่วยงานที่มีค่าใช้จ่ายดังกล่าวเพิ่มขึ้นที่มีสาระสำคัญได้แก่ กองควบคุมโรคและภัยสุขภาพในสภาวะฉุกเฉิน </t>
  </si>
  <si>
    <t>2.ค่าใช้จ่ายค่าจำหน่ายจากการขายสินทรัพย์ ปี 2562 มีการเปลี่ยนแปลงที่เพิ่มขึ้นจากปี 2561 เนื่องจากปี 2562 กรมฯมีหนังสือสั่งการให้หน่วยงานตรวจสอบความถูกต้องของสินทรัพย์เพื่อรองรับ</t>
  </si>
  <si>
    <t>การขึ้นระบบ  New GFMIS จึงทำให้พบว่ามีรายการในปีก่อนๆ ที่ยังไม่ตัดจำหน่ายสินทรัพย์ในระบบ GFMIS และมาตัดจำหน่ายในปี 2562</t>
  </si>
  <si>
    <t>ค่าใช้จ่ายทางตรง ต้นทุนผันแปร วิเคราะห์สาเหตุการเปลี่ยนแปลงได้ดังนี้</t>
  </si>
  <si>
    <t xml:space="preserve">   ค่าใช้จ่ายในการฝึกอบรม และค่าใช้จ่ายเดินทาง ปี 2562 ลดลงเมื่อเทียบกับปี 2561  แต่เมื่อพิจารณารายหน่วยงานจะพบว่ามีบางหน่วยงานที่มีค่าใช้จ่ายฯ สูงมากขึ้น</t>
  </si>
  <si>
    <t>เนื่องจากภาระกิจที่ได้รับมอบหมายเน้นในเรื่องของการให้ความรู้ความเข้าใจกับบุคลากรที่เกี่ยวข้อง ได้แก่ กองควบคุมโรคและภัยสุขภาพในสภาวะฉุกเฉินและ สำนักงานความร่วมมือระหว่างประเทศ</t>
  </si>
  <si>
    <t>รายงานสรุปผลการวิเคราะห์ต้นทุนต่อหน่วยผลผลิต
ของกรมควบคุมโรค
สำหรับปีงบประมาณ พ.ศ. 2562</t>
  </si>
  <si>
    <t xml:space="preserve">ปีงบประมาณ 2562 กรมควบคุมโรคกำหนดเป้าหมายการให้บริการเป็น 7 เป้าหมาย คือ 
 1. เครือข่ายเป้าหมายมีศักยภาพในการเฝ้าระวัง ป้องกัน ควบคุมโรคและภัยสุขภาพอย่างมีประสิทธิภาพ
 2. ประชาชนกลุ่มเป้าหมายสามารถปฏิบัติตัว ในการป้องกันควบคุมโรคติดต่อสำคัญ โรคติดต่อไม่เรื้อรัง โรคติดต่ออุบัติใหม่และภัยสุขภาพ ที่มีคุณภาพตามมาตรฐานสากล
 3. เครือข่ายเป้าหมายมีศักยภาพในการเฝ้าระวัง ป้องกัน ควบคุมโรคและภัยสุขภาพตามกลุ่มวัย
 4. ประชาชนกลุ่มเป้าหมายในพื้นที่เฉพาะได้รับบริการเฝ้าระวัง ป้องกัน ควบคุมโรคและภัยสุขภาพตามมาตรฐานสากล
 5. ประชาชนเข้าถึงบริการเฝ้าระวัง ป้องกัน ควบคุมโรคและภัยสุขภาพที่ทั่วถึงและทันสถานการณ์
 6. ประชาชนกลุ่มเป้าหมายในพื้นที่เสี่ยงปัญหาขยะและมลพิษทางอากาศได้รับการเฝ้าระวัง ป้องกัน ควบคุมโรคและภัยสุขภาพจากมลพิษสิ่งแวดล้อม 
 7. มีงบประมาณเพียงพอในการสนับสนุนบุคลากรในการดำเนินการเฝ้าระวัง ป้องกัน ควบคุมโรคและภัยสุขภาพ
</t>
  </si>
  <si>
    <t xml:space="preserve">          โดยมีผลผลิตหลักที่เกิดจากการดำเนินงานตามบทบาทภารกิจ จำนวน 18 ผลผลิต ได้แก่</t>
  </si>
  <si>
    <t xml:space="preserve">          ผลผลิตที่ 1 : ผลิตภัณฑ์ด้านการเฝ้าระวัง ป้องกัน ควบคุมโรค และภัยสุขภาพ </t>
  </si>
  <si>
    <t xml:space="preserve">          ผลผลิตที่ 2 : การสนับสนุนเสริมสร้างศักยภาพและความเข้มแข็งในการจัดการระบบเฝ้าระวัง ป้องกัน ควบคุมโรคและภัยสุขภาพ</t>
  </si>
  <si>
    <t xml:space="preserve">          ผลผลิตที่ 3 : การเฝ้าระวัง ป้องกัน ควบคุมโรคที่เป็นปัญหาสำคัญ </t>
  </si>
  <si>
    <t xml:space="preserve">          ผลผลิตที่ 4 : การบริการรักษาและฟื้นฟูสภาพเฉพาะโรค ในกลุ่มโรคติดต่อสำคัญ โรคอุบัติใหม่และภัยสุขภาพ</t>
  </si>
  <si>
    <t xml:space="preserve">          ผลผลิตที่ 5 : โครงการเร่งรัดกำจัดโรคไข้มาลาเรียวัณโรค และยุติปัญหาเอดส์</t>
  </si>
  <si>
    <t xml:space="preserve">          ผลผลิตที่ 6 : โครงการเฝ้าระวัง ป้องกันควบคุมโรคติดต่อ โรคอุบัติใหม่และภัยสุขภาพที่เชื่อมโยงในระดับภูมิภาค</t>
  </si>
  <si>
    <t xml:space="preserve">          ผลผลิตที่ 7 : โครงการสนับสนุนการเฝ้าระวัง ป้องกันควบคุมโรคติดต่อและ
สร้างเสริมภูมิคุ้มกันโรคในกลุ่มวัยเด็ก
</t>
  </si>
  <si>
    <t xml:space="preserve">          ผลผลิตที่ 8 : โครงการเฝ้าระวัง ป้องกันควบคุมโรคและพัฒนาทักษะชีวิตในกลุ่มวัยเรียน</t>
  </si>
  <si>
    <t xml:space="preserve">          ผลผลิตที่ 9 : โครงการพัฒนาขับเคลื่อนกฎหมายและเฝ้าระวัง ป้องกันควบคุมโรคและภัยสุขภาพในกลุ่มวัยรุ่น</t>
  </si>
  <si>
    <t xml:space="preserve">          ผลผลิตที่ 10 : โครงการเฝ้าระวังป้องกันควบคุมโรคไม่ติดต่อเรื้อรังและปัจจัยเสี่ยงในกลุ่มวัยทำงาน</t>
  </si>
  <si>
    <t xml:space="preserve">          ผลผลิตที่ 11 : โครงการเฝ้าระวังป้องกันควบคุมโรคติดต่อ โรคอุบัติใหม่และภัยสุขภาพ ที่เชื่อมโยงกับเขตเศรษฐกิจพิเศษ</t>
  </si>
  <si>
    <t xml:space="preserve">          ผลผลิตที่ 12 : โครงการพัฒนาระบบสารสนเทศเพื่อรองรับการเฝ้าระวัง ป้องกันควบคุมโรคและภัยสุขภาพ</t>
  </si>
  <si>
    <t xml:space="preserve">          ผลผลิตที่ 13 : การวิจัย และพัฒนาด้านการป้องกัน ควบคุมโรค และภัยสุขภาพ</t>
  </si>
  <si>
    <t xml:space="preserve">          ผลผลิตที่ 14 : โครงการเฝ้าระวังป้องกันควบคุมโรคและภัยสุขภาพของประชาชนผู้สัมผัสขยะ</t>
  </si>
  <si>
    <t xml:space="preserve">          ผลผลิตที่ 15 : โครงการเฝ้าระวัง ป้องกันควบคุมโรคและภัยสุขภาพจากมลพิษทางอากาศ</t>
  </si>
  <si>
    <t xml:space="preserve">          ผลผลิตที่ 16 : ส่งเสริมให้เกิดระบบการป้องกันปราบปรามการทุจริตและประพฤติมิชอบในภาครัฐ</t>
  </si>
  <si>
    <t xml:space="preserve">          ผลผลิตที่ 17 : รายการค่าใช้จ่ายบุคลากรภาครัฐพัฒนาด้านสาธารณสุข</t>
  </si>
  <si>
    <t xml:space="preserve">          ผลผลิตที่ 17 : โครงการพัฒนาการดำเนินงานการเฝ้าระวังโรคและภัยสุขภาพจากการประกอบอาชีพและสิ่งแวดล้อมในพื้นที่ระเบียงเศรษฐกิจภาคตะวันออก</t>
  </si>
  <si>
    <t xml:space="preserve">          ต้นทุนผลผิต ปี 2562 จำนวน 5,315,993,250.18 บาท ลดลงจากปี 2561 ร้อยละ 2.88 ต้นทุนรวมเพิ่มขึ้นในผลผลิตที่ 2, 3, 7, 8, 9, 10, 11,12, 15, 16, 17 และ 18  ซึ่งต้นทุนต่อหน่วยลดลงในผลผลิตที่  1, 4, 5, 6, 13 และ 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</si>
</sst>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87" formatCode="_(* #,##0.00_);_(* \(#,##0.00\);_(* &quot;-&quot;??_);_(@_)"/>
    <numFmt numFmtId="188" formatCode="0.00_);\(0.00\)"/>
    <numFmt numFmtId="189" formatCode="_(* #,##0_);_(* \(#,##0\);_(* &quot;-&quot;??_);_(@_)"/>
    <numFmt numFmtId="190" formatCode="#,##0.00_ ;\-#,##0.00\ "/>
    <numFmt numFmtId="191" formatCode="#,##0.00_ ;[Red]\-#,##0.00\ "/>
  </numFmts>
  <fonts count="30" x14ac:knownFonts="1">
    <font>
      <sz val="11"/>
      <color theme="1"/>
      <name val="Tahoma"/>
      <family val="2"/>
      <charset val="222"/>
      <scheme val="minor"/>
    </font>
    <font>
      <sz val="11"/>
      <color theme="1"/>
      <name val="Tahoma"/>
      <family val="2"/>
      <charset val="222"/>
      <scheme val="minor"/>
    </font>
    <font>
      <b/>
      <sz val="20"/>
      <name val="TH SarabunPSK"/>
      <family val="2"/>
    </font>
    <font>
      <sz val="10"/>
      <name val="Arial"/>
      <family val="2"/>
    </font>
    <font>
      <sz val="12"/>
      <name val="TH SarabunPSK"/>
      <family val="2"/>
    </font>
    <font>
      <b/>
      <sz val="12"/>
      <name val="TH SarabunPSK"/>
      <family val="2"/>
    </font>
    <font>
      <sz val="24"/>
      <name val="TH SarabunPSK"/>
      <family val="2"/>
    </font>
    <font>
      <b/>
      <sz val="24"/>
      <name val="TH SarabunPSK"/>
      <family val="2"/>
    </font>
    <font>
      <b/>
      <sz val="18"/>
      <name val="TH SarabunPSK"/>
      <family val="2"/>
    </font>
    <font>
      <b/>
      <sz val="16"/>
      <name val="TH SarabunPSK"/>
      <family val="2"/>
    </font>
    <font>
      <sz val="14"/>
      <name val="TH SarabunPSK"/>
      <family val="2"/>
    </font>
    <font>
      <b/>
      <sz val="14"/>
      <name val="TH SarabunPSK"/>
      <family val="2"/>
    </font>
    <font>
      <sz val="16"/>
      <color rgb="FFFF0000"/>
      <name val="TH SarabunPSK"/>
      <family val="2"/>
    </font>
    <font>
      <sz val="16"/>
      <name val="TH SarabunPSK"/>
      <family val="2"/>
    </font>
    <font>
      <sz val="14"/>
      <name val="TH SarabunPSK"/>
      <family val="2"/>
      <charset val="222"/>
    </font>
    <font>
      <sz val="10"/>
      <name val="Arial"/>
      <family val="2"/>
      <charset val="222"/>
    </font>
    <font>
      <sz val="14"/>
      <color rgb="FFFF0000"/>
      <name val="TH SarabunPSK"/>
      <family val="2"/>
    </font>
    <font>
      <sz val="20"/>
      <name val="TH SarabunPSK"/>
      <family val="2"/>
    </font>
    <font>
      <b/>
      <u/>
      <sz val="20"/>
      <name val="TH SarabunPSK"/>
      <family val="2"/>
    </font>
    <font>
      <b/>
      <u/>
      <sz val="12"/>
      <name val="TH SarabunPSK"/>
      <family val="2"/>
    </font>
    <font>
      <sz val="10"/>
      <color rgb="FFFF0000"/>
      <name val="TH SarabunPSK"/>
      <family val="2"/>
    </font>
    <font>
      <b/>
      <sz val="14"/>
      <color rgb="FFFF0000"/>
      <name val="TH SarabunPSK"/>
      <family val="2"/>
    </font>
    <font>
      <u/>
      <sz val="20"/>
      <name val="TH SarabunPSK"/>
      <family val="2"/>
    </font>
    <font>
      <sz val="18"/>
      <name val="TH SarabunPSK"/>
      <family val="2"/>
    </font>
    <font>
      <sz val="10"/>
      <name val="TH SarabunPSK"/>
      <family val="2"/>
    </font>
    <font>
      <sz val="10"/>
      <name val="TH SarabunPSK"/>
      <family val="2"/>
      <charset val="222"/>
    </font>
    <font>
      <sz val="16"/>
      <name val="TH SarabunPSK"/>
      <family val="2"/>
      <charset val="222"/>
    </font>
    <font>
      <sz val="16"/>
      <name val="Arial"/>
      <family val="2"/>
      <charset val="222"/>
    </font>
    <font>
      <b/>
      <sz val="18"/>
      <color rgb="FF0000FF"/>
      <name val="TH SarabunPSK"/>
      <family val="2"/>
    </font>
    <font>
      <sz val="10"/>
      <color rgb="FF0000FF"/>
      <name val="TH SarabunPSK"/>
      <family val="2"/>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double">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344">
    <xf numFmtId="0" fontId="0" fillId="0" borderId="0" xfId="0"/>
    <xf numFmtId="43" fontId="4" fillId="0" borderId="0" xfId="1" applyFont="1" applyAlignment="1">
      <alignment horizontal="center" vertical="center" wrapText="1"/>
    </xf>
    <xf numFmtId="0" fontId="4" fillId="0" borderId="0" xfId="0" applyFont="1" applyAlignment="1">
      <alignment horizontal="center" vertical="center" wrapText="1"/>
    </xf>
    <xf numFmtId="0" fontId="2" fillId="0" borderId="0" xfId="0" applyFont="1"/>
    <xf numFmtId="43" fontId="4" fillId="0" borderId="0" xfId="1" applyFont="1" applyFill="1" applyAlignment="1">
      <alignment horizontal="center" vertical="center" wrapText="1"/>
    </xf>
    <xf numFmtId="43" fontId="5" fillId="0" borderId="0" xfId="1" applyFont="1" applyFill="1" applyAlignment="1">
      <alignment horizontal="center" vertical="center" wrapText="1"/>
    </xf>
    <xf numFmtId="0" fontId="4" fillId="0" borderId="0" xfId="0" applyFont="1" applyAlignment="1">
      <alignment horizontal="left" vertical="center" wrapText="1"/>
    </xf>
    <xf numFmtId="43" fontId="2" fillId="0" borderId="0" xfId="1" applyFont="1"/>
    <xf numFmtId="43" fontId="6" fillId="0" borderId="0" xfId="1" applyFont="1" applyFill="1"/>
    <xf numFmtId="43" fontId="6" fillId="0" borderId="0" xfId="1" applyFont="1" applyFill="1" applyAlignment="1">
      <alignment horizontal="center" vertical="center"/>
    </xf>
    <xf numFmtId="43" fontId="7" fillId="0" borderId="0" xfId="1" applyFont="1"/>
    <xf numFmtId="43" fontId="6" fillId="0" borderId="0" xfId="1" applyFont="1"/>
    <xf numFmtId="0" fontId="5" fillId="0" borderId="5" xfId="0" applyFont="1" applyBorder="1" applyAlignment="1">
      <alignment horizontal="center" vertical="center" shrinkToFit="1"/>
    </xf>
    <xf numFmtId="43" fontId="5" fillId="0" borderId="5" xfId="1" applyFont="1" applyFill="1" applyBorder="1" applyAlignment="1">
      <alignment horizontal="center" vertical="center" shrinkToFit="1"/>
    </xf>
    <xf numFmtId="3" fontId="5" fillId="0" borderId="5" xfId="0" applyNumberFormat="1" applyFont="1" applyBorder="1" applyAlignment="1">
      <alignment horizontal="center" vertical="center" shrinkToFit="1"/>
    </xf>
    <xf numFmtId="43" fontId="5" fillId="0" borderId="5" xfId="1" applyFont="1" applyBorder="1" applyAlignment="1">
      <alignment horizontal="center" vertical="center" shrinkToFit="1"/>
    </xf>
    <xf numFmtId="0" fontId="5" fillId="0" borderId="5" xfId="0" applyFont="1" applyBorder="1" applyAlignment="1">
      <alignment horizontal="center" vertical="center" wrapText="1" shrinkToFit="1"/>
    </xf>
    <xf numFmtId="43" fontId="5" fillId="0" borderId="5" xfId="1" applyFont="1" applyBorder="1" applyAlignment="1">
      <alignment horizontal="center" vertical="center" wrapText="1" shrinkToFit="1"/>
    </xf>
    <xf numFmtId="0" fontId="9" fillId="0" borderId="0" xfId="0" applyFont="1" applyAlignment="1">
      <alignment vertical="top"/>
    </xf>
    <xf numFmtId="0" fontId="5" fillId="0" borderId="0" xfId="0" applyFont="1" applyAlignment="1">
      <alignment horizontal="center" vertical="center" shrinkToFit="1"/>
    </xf>
    <xf numFmtId="0" fontId="4" fillId="2" borderId="5" xfId="0" applyFont="1" applyFill="1" applyBorder="1" applyAlignment="1">
      <alignment horizontal="left" vertical="center" wrapText="1"/>
    </xf>
    <xf numFmtId="40" fontId="4" fillId="2" borderId="5" xfId="0" applyNumberFormat="1" applyFont="1" applyFill="1" applyBorder="1" applyAlignment="1">
      <alignment horizontal="right" vertical="center" wrapText="1"/>
    </xf>
    <xf numFmtId="43" fontId="4" fillId="2" borderId="5" xfId="1" applyFont="1" applyFill="1" applyBorder="1" applyAlignment="1">
      <alignment horizontal="center" vertical="center"/>
    </xf>
    <xf numFmtId="3" fontId="4" fillId="2" borderId="5" xfId="1" applyNumberFormat="1" applyFont="1" applyFill="1" applyBorder="1" applyAlignment="1">
      <alignment horizontal="center" vertical="center" wrapText="1" shrinkToFit="1"/>
    </xf>
    <xf numFmtId="0" fontId="4" fillId="2" borderId="5" xfId="0" applyFont="1" applyFill="1" applyBorder="1" applyAlignment="1">
      <alignment horizontal="center" vertical="center"/>
    </xf>
    <xf numFmtId="43" fontId="4" fillId="2" borderId="5" xfId="1" applyNumberFormat="1" applyFont="1" applyFill="1" applyBorder="1" applyAlignment="1">
      <alignment horizontal="center" vertical="center"/>
    </xf>
    <xf numFmtId="188" fontId="5" fillId="2" borderId="5" xfId="0" applyNumberFormat="1"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43" fontId="5" fillId="2" borderId="5" xfId="1" applyFont="1" applyFill="1" applyBorder="1" applyAlignment="1">
      <alignment horizontal="center" vertical="center" wrapText="1" shrinkToFit="1"/>
    </xf>
    <xf numFmtId="0" fontId="4" fillId="2" borderId="0" xfId="0" applyFont="1" applyFill="1" applyAlignment="1">
      <alignment horizontal="center" vertical="center"/>
    </xf>
    <xf numFmtId="0" fontId="4" fillId="3" borderId="5" xfId="0" applyFont="1" applyFill="1" applyBorder="1" applyAlignment="1">
      <alignment horizontal="left" vertical="center" wrapText="1"/>
    </xf>
    <xf numFmtId="40" fontId="4" fillId="3" borderId="5" xfId="0" applyNumberFormat="1" applyFont="1" applyFill="1" applyBorder="1" applyAlignment="1">
      <alignment horizontal="right" vertical="center" wrapText="1"/>
    </xf>
    <xf numFmtId="43" fontId="4" fillId="3" borderId="5" xfId="1" applyFont="1" applyFill="1" applyBorder="1" applyAlignment="1">
      <alignment horizontal="center" vertical="center"/>
    </xf>
    <xf numFmtId="3" fontId="4" fillId="3" borderId="5" xfId="0" applyNumberFormat="1" applyFont="1" applyFill="1" applyBorder="1" applyAlignment="1">
      <alignment horizontal="center" vertical="center" wrapText="1" shrinkToFit="1"/>
    </xf>
    <xf numFmtId="0" fontId="4" fillId="3" borderId="5" xfId="0" applyFont="1" applyFill="1" applyBorder="1" applyAlignment="1">
      <alignment horizontal="center" vertical="center"/>
    </xf>
    <xf numFmtId="43" fontId="4" fillId="3" borderId="5" xfId="1" applyNumberFormat="1" applyFont="1" applyFill="1" applyBorder="1" applyAlignment="1">
      <alignment horizontal="center" vertical="center"/>
    </xf>
    <xf numFmtId="188" fontId="5" fillId="3" borderId="5" xfId="0" applyNumberFormat="1" applyFont="1" applyFill="1" applyBorder="1" applyAlignment="1">
      <alignment horizontal="center" vertical="center" wrapText="1" shrinkToFit="1"/>
    </xf>
    <xf numFmtId="0" fontId="5" fillId="3" borderId="5" xfId="0" applyFont="1" applyFill="1" applyBorder="1" applyAlignment="1">
      <alignment horizontal="center" vertical="center" wrapText="1" shrinkToFit="1"/>
    </xf>
    <xf numFmtId="43" fontId="5" fillId="3" borderId="5" xfId="1" applyFont="1" applyFill="1" applyBorder="1" applyAlignment="1">
      <alignment horizontal="center" vertical="center" wrapText="1" shrinkToFit="1"/>
    </xf>
    <xf numFmtId="0" fontId="4" fillId="3" borderId="0" xfId="0" applyFont="1" applyFill="1" applyAlignment="1">
      <alignment horizontal="center" vertical="center"/>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4" borderId="5" xfId="0" applyFont="1" applyFill="1" applyBorder="1" applyAlignment="1">
      <alignment horizontal="left" vertical="center" wrapText="1"/>
    </xf>
    <xf numFmtId="40" fontId="4" fillId="4" borderId="5" xfId="0" applyNumberFormat="1" applyFont="1" applyFill="1" applyBorder="1" applyAlignment="1">
      <alignment horizontal="right" vertical="center" wrapText="1"/>
    </xf>
    <xf numFmtId="43" fontId="4" fillId="4" borderId="5" xfId="1" applyFont="1" applyFill="1" applyBorder="1" applyAlignment="1">
      <alignment horizontal="center" vertical="center"/>
    </xf>
    <xf numFmtId="3" fontId="4" fillId="4" borderId="5" xfId="1" applyNumberFormat="1" applyFont="1" applyFill="1" applyBorder="1" applyAlignment="1">
      <alignment horizontal="center" vertical="center" shrinkToFit="1"/>
    </xf>
    <xf numFmtId="0" fontId="4" fillId="4" borderId="5" xfId="0" applyFont="1" applyFill="1" applyBorder="1" applyAlignment="1">
      <alignment horizontal="center" vertical="center" wrapText="1"/>
    </xf>
    <xf numFmtId="43" fontId="4" fillId="4" borderId="5" xfId="1" applyNumberFormat="1" applyFont="1" applyFill="1" applyBorder="1" applyAlignment="1">
      <alignment horizontal="center" vertical="center"/>
    </xf>
    <xf numFmtId="188" fontId="5" fillId="4" borderId="5" xfId="0" applyNumberFormat="1" applyFont="1" applyFill="1" applyBorder="1" applyAlignment="1">
      <alignment horizontal="center" vertical="center" wrapText="1" shrinkToFit="1"/>
    </xf>
    <xf numFmtId="0" fontId="5" fillId="4" borderId="5" xfId="0" applyFont="1" applyFill="1" applyBorder="1" applyAlignment="1">
      <alignment horizontal="center" vertical="center" wrapText="1" shrinkToFit="1"/>
    </xf>
    <xf numFmtId="43" fontId="5" fillId="4" borderId="5" xfId="1" applyFont="1" applyFill="1" applyBorder="1" applyAlignment="1">
      <alignment horizontal="center" vertical="center" wrapText="1" shrinkToFit="1"/>
    </xf>
    <xf numFmtId="0" fontId="4" fillId="4" borderId="0" xfId="0" applyFont="1" applyFill="1" applyAlignment="1">
      <alignment horizontal="center" vertical="center"/>
    </xf>
    <xf numFmtId="40" fontId="4" fillId="5" borderId="2" xfId="0" applyNumberFormat="1" applyFont="1" applyFill="1" applyBorder="1" applyAlignment="1">
      <alignment horizontal="center" vertical="center" wrapText="1"/>
    </xf>
    <xf numFmtId="40" fontId="4" fillId="5" borderId="3" xfId="0" applyNumberFormat="1" applyFont="1" applyFill="1" applyBorder="1" applyAlignment="1">
      <alignment horizontal="center" vertical="center" wrapText="1"/>
    </xf>
    <xf numFmtId="40" fontId="4" fillId="5" borderId="4" xfId="0" applyNumberFormat="1" applyFont="1" applyFill="1" applyBorder="1" applyAlignment="1">
      <alignment horizontal="center" vertical="center" wrapText="1"/>
    </xf>
    <xf numFmtId="43" fontId="4" fillId="0" borderId="4" xfId="1" applyFont="1" applyBorder="1" applyAlignment="1">
      <alignment horizontal="center" vertical="center" wrapText="1"/>
    </xf>
    <xf numFmtId="40" fontId="4" fillId="0" borderId="4" xfId="0" applyNumberFormat="1" applyFont="1" applyBorder="1" applyAlignment="1">
      <alignment horizontal="center" vertical="center" wrapText="1"/>
    </xf>
    <xf numFmtId="3" fontId="4" fillId="3" borderId="5" xfId="1" applyNumberFormat="1" applyFont="1" applyFill="1" applyBorder="1" applyAlignment="1">
      <alignment horizontal="center" vertical="center" wrapText="1" shrinkToFit="1"/>
    </xf>
    <xf numFmtId="0" fontId="4" fillId="3" borderId="5" xfId="0" applyFont="1" applyFill="1" applyBorder="1" applyAlignment="1">
      <alignment horizontal="center" vertical="center" wrapText="1"/>
    </xf>
    <xf numFmtId="43" fontId="4" fillId="3" borderId="4" xfId="1" applyFont="1" applyFill="1" applyBorder="1" applyAlignment="1">
      <alignment horizontal="center" vertical="center" wrapText="1"/>
    </xf>
    <xf numFmtId="0" fontId="4" fillId="3" borderId="0" xfId="0" applyFont="1" applyFill="1" applyAlignment="1">
      <alignment horizontal="center" vertical="center" wrapText="1"/>
    </xf>
    <xf numFmtId="3" fontId="4" fillId="2" borderId="5" xfId="0" applyNumberFormat="1" applyFont="1" applyFill="1" applyBorder="1" applyAlignment="1">
      <alignment horizontal="center" vertical="center" wrapText="1" shrinkToFit="1"/>
    </xf>
    <xf numFmtId="43" fontId="4" fillId="2" borderId="0" xfId="0" applyNumberFormat="1" applyFont="1" applyFill="1" applyAlignment="1">
      <alignment horizontal="center" vertical="center" wrapText="1"/>
    </xf>
    <xf numFmtId="0" fontId="4" fillId="0" borderId="5" xfId="0" applyFont="1" applyBorder="1" applyAlignment="1">
      <alignment horizontal="left" vertical="center" wrapText="1"/>
    </xf>
    <xf numFmtId="43" fontId="4" fillId="0" borderId="5" xfId="1" applyNumberFormat="1" applyFont="1" applyFill="1" applyBorder="1" applyAlignment="1">
      <alignment horizontal="center" vertical="center"/>
    </xf>
    <xf numFmtId="40" fontId="4" fillId="0" borderId="5" xfId="0" applyNumberFormat="1" applyFont="1" applyBorder="1" applyAlignment="1">
      <alignment horizontal="right" vertical="center" wrapText="1"/>
    </xf>
    <xf numFmtId="43" fontId="4" fillId="0" borderId="5" xfId="1" applyFont="1" applyFill="1" applyBorder="1" applyAlignment="1">
      <alignment horizontal="center" vertical="center"/>
    </xf>
    <xf numFmtId="3" fontId="4" fillId="0" borderId="5" xfId="1" applyNumberFormat="1" applyFont="1" applyFill="1" applyBorder="1" applyAlignment="1">
      <alignment horizontal="center" vertical="center" wrapText="1" shrinkToFit="1"/>
    </xf>
    <xf numFmtId="0" fontId="4" fillId="0" borderId="5" xfId="0" applyFont="1" applyBorder="1" applyAlignment="1">
      <alignment horizontal="center" vertical="center" wrapText="1"/>
    </xf>
    <xf numFmtId="0" fontId="4" fillId="4" borderId="0" xfId="0" applyFont="1" applyFill="1" applyAlignment="1">
      <alignment horizontal="center" vertical="center" wrapText="1"/>
    </xf>
    <xf numFmtId="43" fontId="4" fillId="4" borderId="5" xfId="1" applyFont="1" applyFill="1" applyBorder="1" applyAlignment="1">
      <alignment horizontal="center" vertical="center" shrinkToFit="1"/>
    </xf>
    <xf numFmtId="3" fontId="4" fillId="4" borderId="5" xfId="1" applyNumberFormat="1" applyFont="1" applyFill="1" applyBorder="1" applyAlignment="1">
      <alignment horizontal="center" vertical="center" wrapText="1" shrinkToFit="1"/>
    </xf>
    <xf numFmtId="3" fontId="4" fillId="0" borderId="5" xfId="0" applyNumberFormat="1" applyFont="1" applyBorder="1" applyAlignment="1">
      <alignment horizontal="center" vertical="center" wrapText="1" shrinkToFit="1"/>
    </xf>
    <xf numFmtId="3" fontId="10" fillId="0" borderId="5" xfId="1" applyNumberFormat="1" applyFont="1" applyFill="1" applyBorder="1" applyAlignment="1">
      <alignment horizontal="center" vertical="center" wrapText="1" shrinkToFit="1"/>
    </xf>
    <xf numFmtId="0" fontId="4" fillId="0" borderId="5" xfId="0" applyFont="1" applyBorder="1" applyAlignment="1">
      <alignment horizontal="center" vertical="center"/>
    </xf>
    <xf numFmtId="0" fontId="4" fillId="0" borderId="0" xfId="0" applyFont="1" applyAlignment="1">
      <alignment horizontal="left" vertical="center"/>
    </xf>
    <xf numFmtId="40" fontId="4" fillId="3" borderId="5" xfId="0" applyNumberFormat="1" applyFont="1" applyFill="1" applyBorder="1" applyAlignment="1">
      <alignment horizontal="center" vertical="center" wrapText="1"/>
    </xf>
    <xf numFmtId="40" fontId="4" fillId="0" borderId="5" xfId="0" applyNumberFormat="1" applyFont="1" applyBorder="1" applyAlignment="1">
      <alignment horizontal="center" vertical="center" wrapText="1"/>
    </xf>
    <xf numFmtId="40" fontId="4" fillId="4" borderId="5" xfId="0" applyNumberFormat="1" applyFont="1" applyFill="1" applyBorder="1" applyAlignment="1">
      <alignment horizontal="center" vertical="center" wrapText="1"/>
    </xf>
    <xf numFmtId="40" fontId="4" fillId="0" borderId="5" xfId="0" applyNumberFormat="1" applyFont="1" applyBorder="1" applyAlignment="1">
      <alignment vertical="center" wrapText="1"/>
    </xf>
    <xf numFmtId="3" fontId="4" fillId="0" borderId="5" xfId="1" applyNumberFormat="1" applyFont="1" applyFill="1" applyBorder="1" applyAlignment="1">
      <alignment horizontal="center" vertical="center" wrapText="1"/>
    </xf>
    <xf numFmtId="43" fontId="4" fillId="0" borderId="5" xfId="1" applyFont="1" applyFill="1" applyBorder="1" applyAlignment="1">
      <alignment vertical="center"/>
    </xf>
    <xf numFmtId="43" fontId="4" fillId="0" borderId="5" xfId="1" applyFont="1" applyBorder="1" applyAlignment="1">
      <alignment horizontal="center" vertical="center" wrapText="1"/>
    </xf>
    <xf numFmtId="188" fontId="5" fillId="0" borderId="5" xfId="0" applyNumberFormat="1" applyFont="1" applyBorder="1" applyAlignment="1">
      <alignment horizontal="center" vertical="center" wrapText="1" shrinkToFit="1"/>
    </xf>
    <xf numFmtId="0" fontId="2" fillId="6" borderId="2" xfId="0" applyFont="1" applyFill="1" applyBorder="1" applyAlignment="1">
      <alignment horizontal="left" vertical="center"/>
    </xf>
    <xf numFmtId="43" fontId="2" fillId="7" borderId="5" xfId="1" applyFont="1" applyFill="1" applyBorder="1" applyAlignment="1">
      <alignment horizontal="center" vertical="top"/>
    </xf>
    <xf numFmtId="0" fontId="2" fillId="7" borderId="5" xfId="1" applyNumberFormat="1" applyFont="1" applyFill="1" applyBorder="1" applyAlignment="1">
      <alignment horizontal="right" vertical="top"/>
    </xf>
    <xf numFmtId="43" fontId="4" fillId="0" borderId="5" xfId="1" applyNumberFormat="1" applyFont="1" applyFill="1" applyBorder="1" applyAlignment="1">
      <alignment horizontal="center" vertical="center" wrapText="1"/>
    </xf>
    <xf numFmtId="0" fontId="4" fillId="0" borderId="5" xfId="0" applyFont="1" applyBorder="1" applyAlignment="1">
      <alignment horizontal="left" vertical="center"/>
    </xf>
    <xf numFmtId="40" fontId="4" fillId="0" borderId="5" xfId="0" applyNumberFormat="1" applyFont="1" applyBorder="1" applyAlignment="1">
      <alignment horizontal="right" vertical="center"/>
    </xf>
    <xf numFmtId="3" fontId="4" fillId="0" borderId="5" xfId="1" applyNumberFormat="1" applyFont="1" applyFill="1" applyBorder="1" applyAlignment="1">
      <alignment horizontal="center" vertical="center" shrinkToFit="1"/>
    </xf>
    <xf numFmtId="0" fontId="4" fillId="0" borderId="0" xfId="0" applyFont="1" applyAlignment="1">
      <alignment horizontal="center" vertical="center"/>
    </xf>
    <xf numFmtId="43" fontId="4" fillId="0" borderId="5" xfId="1" applyFont="1" applyBorder="1" applyAlignment="1">
      <alignment horizontal="right" vertical="center"/>
    </xf>
    <xf numFmtId="3" fontId="4" fillId="0" borderId="6" xfId="0" applyNumberFormat="1" applyFont="1" applyBorder="1" applyAlignment="1">
      <alignment horizontal="center" vertical="center" wrapText="1" shrinkToFit="1"/>
    </xf>
    <xf numFmtId="0" fontId="4" fillId="0" borderId="6" xfId="0" applyFont="1" applyBorder="1" applyAlignment="1">
      <alignment horizontal="center" vertical="center" wrapText="1"/>
    </xf>
    <xf numFmtId="0" fontId="11" fillId="0" borderId="5" xfId="0" applyFont="1" applyBorder="1" applyAlignment="1">
      <alignment horizontal="center" vertical="center" wrapText="1"/>
    </xf>
    <xf numFmtId="43" fontId="5" fillId="0" borderId="7" xfId="1" applyFont="1" applyFill="1" applyBorder="1"/>
    <xf numFmtId="43" fontId="5" fillId="0" borderId="0" xfId="1" applyFont="1" applyFill="1" applyBorder="1"/>
    <xf numFmtId="43" fontId="5" fillId="0" borderId="8" xfId="1" applyFont="1" applyFill="1" applyBorder="1"/>
    <xf numFmtId="188" fontId="5" fillId="0" borderId="8" xfId="0" applyNumberFormat="1" applyFont="1" applyBorder="1" applyAlignment="1">
      <alignment horizontal="center" vertical="center" wrapText="1" shrinkToFit="1"/>
    </xf>
    <xf numFmtId="43" fontId="5" fillId="0" borderId="8" xfId="1" applyFont="1" applyBorder="1" applyAlignment="1">
      <alignment horizontal="right" vertical="center" wrapText="1" shrinkToFit="1"/>
    </xf>
    <xf numFmtId="0" fontId="5" fillId="0" borderId="0" xfId="0" applyFont="1" applyAlignment="1">
      <alignment horizontal="center" vertical="center" wrapText="1"/>
    </xf>
    <xf numFmtId="43" fontId="4" fillId="0" borderId="0" xfId="1" applyFont="1" applyFill="1" applyBorder="1" applyAlignment="1">
      <alignment horizontal="center" vertical="center" wrapText="1"/>
    </xf>
    <xf numFmtId="43" fontId="5" fillId="0" borderId="0" xfId="1" applyFont="1" applyFill="1" applyBorder="1" applyAlignment="1">
      <alignment horizontal="center" vertical="center" wrapText="1"/>
    </xf>
    <xf numFmtId="188" fontId="5" fillId="0" borderId="0" xfId="0" applyNumberFormat="1" applyFont="1" applyAlignment="1">
      <alignment horizontal="center" vertical="center" wrapText="1" shrinkToFit="1"/>
    </xf>
    <xf numFmtId="43" fontId="5" fillId="0" borderId="0" xfId="1" applyFont="1" applyAlignment="1">
      <alignment horizontal="right" vertical="center" wrapText="1" shrinkToFit="1"/>
    </xf>
    <xf numFmtId="0" fontId="9" fillId="0" borderId="0" xfId="2" applyFont="1" applyAlignment="1">
      <alignment vertical="top"/>
    </xf>
    <xf numFmtId="0" fontId="12" fillId="0" borderId="0" xfId="2" applyFont="1"/>
    <xf numFmtId="0" fontId="3" fillId="0" borderId="0" xfId="2"/>
    <xf numFmtId="0" fontId="13" fillId="0" borderId="0" xfId="2" applyFont="1" applyAlignment="1">
      <alignment vertical="top"/>
    </xf>
    <xf numFmtId="0" fontId="14" fillId="0" borderId="5" xfId="2" applyFont="1" applyBorder="1" applyAlignment="1">
      <alignment vertical="top" wrapText="1"/>
    </xf>
    <xf numFmtId="0" fontId="14" fillId="0" borderId="5" xfId="2" applyFont="1" applyBorder="1" applyAlignment="1">
      <alignment horizontal="left" vertical="top" wrapText="1"/>
    </xf>
    <xf numFmtId="0" fontId="15" fillId="0" borderId="0" xfId="2" applyFont="1"/>
    <xf numFmtId="0" fontId="4" fillId="0" borderId="5" xfId="0" applyFont="1" applyFill="1" applyBorder="1" applyAlignment="1">
      <alignment horizontal="left" vertical="center" wrapText="1"/>
    </xf>
    <xf numFmtId="0" fontId="16" fillId="0" borderId="0" xfId="2" applyFont="1" applyAlignment="1">
      <alignment vertical="top" wrapText="1"/>
    </xf>
    <xf numFmtId="0" fontId="16" fillId="0" borderId="0" xfId="2" applyFont="1"/>
    <xf numFmtId="0" fontId="17" fillId="0" borderId="0" xfId="0" applyFont="1" applyFill="1"/>
    <xf numFmtId="0" fontId="2" fillId="0" borderId="0" xfId="0" applyFont="1" applyFill="1"/>
    <xf numFmtId="43" fontId="17" fillId="0" borderId="0" xfId="1" applyFont="1" applyFill="1"/>
    <xf numFmtId="43" fontId="17" fillId="0" borderId="0" xfId="1" applyFont="1" applyFill="1" applyAlignment="1">
      <alignment horizontal="center"/>
    </xf>
    <xf numFmtId="0" fontId="17" fillId="0" borderId="0" xfId="0" applyFont="1" applyFill="1" applyAlignment="1">
      <alignment horizontal="center"/>
    </xf>
    <xf numFmtId="0" fontId="5" fillId="0" borderId="0" xfId="0" applyFont="1" applyFill="1"/>
    <xf numFmtId="0" fontId="2" fillId="0" borderId="0" xfId="0" applyFont="1" applyFill="1" applyAlignment="1"/>
    <xf numFmtId="0" fontId="5" fillId="0" borderId="0" xfId="0" applyFont="1" applyFill="1" applyAlignment="1"/>
    <xf numFmtId="43" fontId="2" fillId="0" borderId="0" xfId="1" applyFont="1" applyFill="1" applyAlignment="1">
      <alignment horizontal="center"/>
    </xf>
    <xf numFmtId="0" fontId="18" fillId="0" borderId="0" xfId="0" applyFont="1" applyFill="1"/>
    <xf numFmtId="0" fontId="2" fillId="0" borderId="0" xfId="0" applyFont="1" applyFill="1" applyAlignment="1">
      <alignment horizontal="center"/>
    </xf>
    <xf numFmtId="43" fontId="17" fillId="0" borderId="0" xfId="0" applyNumberFormat="1" applyFont="1" applyFill="1"/>
    <xf numFmtId="188" fontId="17" fillId="0" borderId="0" xfId="0" applyNumberFormat="1" applyFont="1" applyFill="1"/>
    <xf numFmtId="0" fontId="9" fillId="0" borderId="0" xfId="0" applyFont="1" applyFill="1" applyBorder="1" applyAlignment="1">
      <alignment horizontal="center" vertical="center"/>
    </xf>
    <xf numFmtId="0" fontId="5" fillId="0" borderId="5" xfId="0" applyFont="1" applyFill="1" applyBorder="1" applyAlignment="1">
      <alignment horizontal="center" vertical="center" shrinkToFit="1"/>
    </xf>
    <xf numFmtId="0" fontId="5" fillId="0" borderId="5" xfId="0" applyFont="1" applyFill="1" applyBorder="1" applyAlignment="1">
      <alignment horizontal="left" vertical="center" wrapText="1"/>
    </xf>
    <xf numFmtId="43" fontId="4" fillId="0" borderId="5" xfId="1" applyFont="1" applyFill="1" applyBorder="1" applyAlignment="1">
      <alignment horizontal="right" vertical="center" wrapText="1" shrinkToFit="1"/>
    </xf>
    <xf numFmtId="43" fontId="4" fillId="0" borderId="5" xfId="1" applyFont="1" applyFill="1" applyBorder="1" applyAlignment="1">
      <alignment horizontal="center" vertical="center" wrapText="1" shrinkToFit="1"/>
    </xf>
    <xf numFmtId="3" fontId="4" fillId="0" borderId="5"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43" fontId="5" fillId="0" borderId="5" xfId="1" applyFont="1" applyFill="1" applyBorder="1" applyAlignment="1">
      <alignment horizontal="right" vertical="center" wrapText="1" shrinkToFit="1"/>
    </xf>
    <xf numFmtId="43" fontId="5" fillId="0" borderId="5" xfId="1" applyFont="1" applyFill="1" applyBorder="1" applyAlignment="1">
      <alignment horizontal="center" vertical="center" wrapText="1" shrinkToFit="1"/>
    </xf>
    <xf numFmtId="188" fontId="5" fillId="0" borderId="5"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43" fontId="5" fillId="0" borderId="5" xfId="1" applyFont="1" applyFill="1" applyBorder="1" applyAlignment="1">
      <alignment horizontal="center" vertical="center" wrapText="1"/>
    </xf>
    <xf numFmtId="0" fontId="5"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xf numFmtId="0" fontId="4" fillId="0" borderId="0" xfId="0" applyFont="1" applyFill="1" applyAlignment="1">
      <alignment horizontal="center" vertical="center"/>
    </xf>
    <xf numFmtId="43" fontId="5" fillId="0" borderId="4" xfId="1" applyFont="1" applyFill="1" applyBorder="1" applyAlignment="1">
      <alignment horizontal="center" vertical="center" wrapText="1" shrinkToFit="1"/>
    </xf>
    <xf numFmtId="3" fontId="4" fillId="0" borderId="6" xfId="0" applyNumberFormat="1" applyFont="1" applyFill="1" applyBorder="1" applyAlignment="1">
      <alignment horizontal="center" vertical="center" shrinkToFit="1"/>
    </xf>
    <xf numFmtId="3" fontId="4" fillId="0" borderId="5" xfId="0" applyNumberFormat="1" applyFont="1" applyFill="1" applyBorder="1" applyAlignment="1">
      <alignment horizontal="center" vertical="center" shrinkToFit="1"/>
    </xf>
    <xf numFmtId="43" fontId="4" fillId="0" borderId="2" xfId="1" applyFont="1" applyFill="1" applyBorder="1" applyAlignment="1">
      <alignment horizontal="center" vertical="center" shrinkToFit="1"/>
    </xf>
    <xf numFmtId="43" fontId="4" fillId="0" borderId="3" xfId="1" applyFont="1" applyFill="1" applyBorder="1" applyAlignment="1">
      <alignment horizontal="center" vertical="center" shrinkToFit="1"/>
    </xf>
    <xf numFmtId="43" fontId="4" fillId="0" borderId="0" xfId="1" applyFont="1" applyFill="1"/>
    <xf numFmtId="3" fontId="10" fillId="0" borderId="5" xfId="0" applyNumberFormat="1" applyFont="1" applyFill="1" applyBorder="1" applyAlignment="1">
      <alignment horizontal="center" vertical="center" wrapText="1" shrinkToFit="1"/>
    </xf>
    <xf numFmtId="43" fontId="4" fillId="0" borderId="0" xfId="1" applyFont="1" applyFill="1" applyAlignment="1">
      <alignment vertical="center"/>
    </xf>
    <xf numFmtId="43" fontId="5" fillId="0" borderId="0" xfId="1" applyFont="1" applyFill="1" applyAlignment="1">
      <alignment vertical="center"/>
    </xf>
    <xf numFmtId="43" fontId="4" fillId="0" borderId="5" xfId="1" applyFont="1" applyFill="1" applyBorder="1" applyAlignment="1">
      <alignment vertical="center" wrapText="1" shrinkToFit="1"/>
    </xf>
    <xf numFmtId="43" fontId="5" fillId="0" borderId="0" xfId="1" applyFont="1" applyFill="1" applyAlignment="1">
      <alignment horizontal="center"/>
    </xf>
    <xf numFmtId="43" fontId="5" fillId="0" borderId="4" xfId="1" applyFont="1" applyFill="1" applyBorder="1" applyAlignment="1">
      <alignment horizontal="right" vertical="center" wrapText="1" shrinkToFit="1"/>
    </xf>
    <xf numFmtId="0" fontId="5" fillId="0" borderId="0" xfId="0" applyFont="1" applyFill="1" applyAlignment="1">
      <alignment vertical="center"/>
    </xf>
    <xf numFmtId="43" fontId="4" fillId="0" borderId="10" xfId="1" applyFont="1" applyFill="1" applyBorder="1" applyAlignment="1">
      <alignment horizontal="left" vertical="center" wrapText="1" shrinkToFit="1"/>
    </xf>
    <xf numFmtId="43" fontId="4" fillId="0" borderId="10" xfId="1" applyFont="1" applyFill="1" applyBorder="1" applyAlignment="1">
      <alignment horizontal="right" vertical="center" wrapText="1" shrinkToFit="1"/>
    </xf>
    <xf numFmtId="43" fontId="4" fillId="0" borderId="10" xfId="1" applyFont="1" applyFill="1" applyBorder="1" applyAlignment="1">
      <alignment horizontal="center" vertical="center" wrapText="1" shrinkToFit="1"/>
    </xf>
    <xf numFmtId="0" fontId="5" fillId="0" borderId="7" xfId="0" applyFont="1" applyFill="1" applyBorder="1" applyAlignment="1">
      <alignment horizontal="center" vertical="center" shrinkToFit="1"/>
    </xf>
    <xf numFmtId="43" fontId="5" fillId="0" borderId="11" xfId="1" applyFont="1" applyFill="1" applyBorder="1" applyAlignment="1">
      <alignment horizontal="center" vertical="center" shrinkToFit="1"/>
    </xf>
    <xf numFmtId="0" fontId="4" fillId="0" borderId="0" xfId="0" applyFont="1" applyFill="1" applyAlignment="1">
      <alignment horizontal="center" vertical="center" shrinkToFit="1"/>
    </xf>
    <xf numFmtId="43" fontId="5" fillId="0" borderId="0" xfId="1" applyFont="1" applyFill="1" applyAlignment="1">
      <alignment horizontal="center" vertical="center" shrinkToFit="1"/>
    </xf>
    <xf numFmtId="188" fontId="5" fillId="0" borderId="0" xfId="0" applyNumberFormat="1" applyFont="1" applyFill="1" applyAlignment="1">
      <alignment horizontal="center" vertical="center" shrinkToFit="1"/>
    </xf>
    <xf numFmtId="0" fontId="5" fillId="0" borderId="0" xfId="0" applyFont="1" applyFill="1" applyAlignment="1">
      <alignment horizontal="center" vertical="center" shrinkToFit="1"/>
    </xf>
    <xf numFmtId="0" fontId="19" fillId="0" borderId="0" xfId="0" applyFont="1" applyFill="1"/>
    <xf numFmtId="43" fontId="5" fillId="0" borderId="0" xfId="1" applyFont="1" applyFill="1"/>
    <xf numFmtId="0" fontId="5" fillId="0" borderId="0" xfId="0" applyFont="1" applyFill="1" applyAlignment="1">
      <alignment horizontal="center"/>
    </xf>
    <xf numFmtId="188" fontId="5" fillId="0" borderId="0" xfId="0" applyNumberFormat="1" applyFont="1" applyFill="1"/>
    <xf numFmtId="43" fontId="4" fillId="0" borderId="0" xfId="1" applyFont="1" applyFill="1" applyAlignment="1">
      <alignment horizontal="center"/>
    </xf>
    <xf numFmtId="0" fontId="4" fillId="0" borderId="0" xfId="0" applyFont="1" applyFill="1" applyAlignment="1">
      <alignment horizontal="center"/>
    </xf>
    <xf numFmtId="188" fontId="4" fillId="0" borderId="0" xfId="0" applyNumberFormat="1" applyFont="1" applyFill="1"/>
    <xf numFmtId="3" fontId="5" fillId="0" borderId="5" xfId="0" applyNumberFormat="1" applyFont="1" applyFill="1" applyBorder="1" applyAlignment="1">
      <alignment horizontal="center" vertical="center" shrinkToFit="1"/>
    </xf>
    <xf numFmtId="0" fontId="5" fillId="0" borderId="5" xfId="0" applyFont="1" applyFill="1" applyBorder="1" applyAlignment="1">
      <alignment horizontal="center" vertical="center" wrapText="1" shrinkToFit="1"/>
    </xf>
    <xf numFmtId="40" fontId="4" fillId="0" borderId="5" xfId="0" applyNumberFormat="1" applyFont="1" applyFill="1" applyBorder="1" applyAlignment="1">
      <alignment horizontal="right" vertical="center" wrapText="1"/>
    </xf>
    <xf numFmtId="188" fontId="5" fillId="0" borderId="5"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43" fontId="4" fillId="0" borderId="5" xfId="1" applyFont="1" applyFill="1" applyBorder="1" applyAlignment="1">
      <alignment horizontal="center" vertical="center" shrinkToFit="1"/>
    </xf>
    <xf numFmtId="43" fontId="4" fillId="0" borderId="5" xfId="1" applyFont="1" applyFill="1" applyBorder="1" applyAlignment="1">
      <alignment horizontal="center" vertical="center" wrapText="1"/>
    </xf>
    <xf numFmtId="40" fontId="4" fillId="0" borderId="5" xfId="0" applyNumberFormat="1" applyFont="1" applyFill="1" applyBorder="1" applyAlignment="1">
      <alignment horizontal="right" vertical="center"/>
    </xf>
    <xf numFmtId="43" fontId="4" fillId="0" borderId="5" xfId="1" applyFont="1" applyFill="1" applyBorder="1" applyAlignment="1">
      <alignment horizontal="right" vertical="center"/>
    </xf>
    <xf numFmtId="3" fontId="4" fillId="0" borderId="6" xfId="0" applyNumberFormat="1" applyFont="1" applyFill="1" applyBorder="1" applyAlignment="1">
      <alignment horizontal="center" vertical="center" wrapText="1" shrinkToFit="1"/>
    </xf>
    <xf numFmtId="0" fontId="9" fillId="0" borderId="0" xfId="0" applyFont="1" applyFill="1" applyAlignment="1">
      <alignment horizontal="center" vertical="center"/>
    </xf>
    <xf numFmtId="43" fontId="4" fillId="0" borderId="5" xfId="1" applyFont="1" applyFill="1" applyBorder="1" applyAlignment="1">
      <alignment horizontal="center"/>
    </xf>
    <xf numFmtId="43" fontId="4" fillId="0" borderId="5" xfId="1" applyFont="1" applyFill="1" applyBorder="1"/>
    <xf numFmtId="0" fontId="20" fillId="0" borderId="0" xfId="2" applyFont="1" applyAlignment="1">
      <alignment vertical="top" wrapText="1"/>
    </xf>
    <xf numFmtId="3" fontId="17" fillId="0" borderId="0" xfId="0" applyNumberFormat="1" applyFont="1" applyFill="1" applyAlignment="1">
      <alignment horizontal="center" vertical="top"/>
    </xf>
    <xf numFmtId="0" fontId="4" fillId="0" borderId="0" xfId="0" applyFont="1" applyFill="1" applyAlignment="1">
      <alignment vertical="top"/>
    </xf>
    <xf numFmtId="0" fontId="2" fillId="0" borderId="0" xfId="0" applyFont="1" applyFill="1" applyAlignment="1">
      <alignment horizontal="center" vertical="top"/>
    </xf>
    <xf numFmtId="188" fontId="17" fillId="0" borderId="0" xfId="0" applyNumberFormat="1" applyFont="1" applyFill="1" applyAlignment="1">
      <alignment vertical="top"/>
    </xf>
    <xf numFmtId="43" fontId="17" fillId="0" borderId="0" xfId="1" applyFont="1" applyFill="1" applyAlignment="1">
      <alignment vertical="top"/>
    </xf>
    <xf numFmtId="43" fontId="4" fillId="0" borderId="5" xfId="1" applyFont="1" applyFill="1" applyBorder="1" applyAlignment="1">
      <alignment horizontal="right" vertical="center" shrinkToFit="1"/>
    </xf>
    <xf numFmtId="188" fontId="4" fillId="0" borderId="5"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5" xfId="0" applyFont="1" applyFill="1" applyBorder="1" applyAlignment="1">
      <alignment horizontal="left" vertical="top" wrapText="1"/>
    </xf>
    <xf numFmtId="43" fontId="4" fillId="0" borderId="6" xfId="1" applyFont="1" applyFill="1" applyBorder="1" applyAlignment="1">
      <alignment horizontal="right" vertical="center" shrinkToFit="1"/>
    </xf>
    <xf numFmtId="43" fontId="4" fillId="0" borderId="6" xfId="1" applyFont="1" applyFill="1" applyBorder="1" applyAlignment="1">
      <alignment horizontal="center" vertical="center" shrinkToFit="1"/>
    </xf>
    <xf numFmtId="0" fontId="4" fillId="0" borderId="6" xfId="0" applyFont="1" applyFill="1" applyBorder="1" applyAlignment="1">
      <alignment horizontal="left" vertical="top" wrapText="1"/>
    </xf>
    <xf numFmtId="0" fontId="4" fillId="0" borderId="5" xfId="0" applyFont="1" applyFill="1" applyBorder="1" applyAlignment="1">
      <alignment vertical="top" wrapText="1"/>
    </xf>
    <xf numFmtId="43" fontId="4" fillId="0" borderId="5" xfId="1" applyFont="1" applyFill="1" applyBorder="1" applyAlignment="1">
      <alignment vertical="center" shrinkToFit="1"/>
    </xf>
    <xf numFmtId="43" fontId="4" fillId="0" borderId="0" xfId="1" applyFont="1" applyFill="1" applyAlignment="1">
      <alignment vertical="top"/>
    </xf>
    <xf numFmtId="43" fontId="4" fillId="0" borderId="6" xfId="1" applyFont="1" applyFill="1" applyBorder="1" applyAlignment="1">
      <alignment horizontal="right" vertical="center"/>
    </xf>
    <xf numFmtId="189" fontId="4" fillId="0" borderId="5" xfId="1" applyNumberFormat="1" applyFont="1" applyFill="1" applyBorder="1" applyAlignment="1">
      <alignment horizontal="right" vertical="center"/>
    </xf>
    <xf numFmtId="0" fontId="5" fillId="0" borderId="5" xfId="0" applyFont="1" applyFill="1" applyBorder="1" applyAlignment="1">
      <alignment horizontal="center"/>
    </xf>
    <xf numFmtId="43" fontId="5" fillId="0" borderId="12" xfId="1" applyFont="1" applyFill="1" applyBorder="1"/>
    <xf numFmtId="188" fontId="4" fillId="0" borderId="0" xfId="0" applyNumberFormat="1" applyFont="1" applyFill="1" applyAlignment="1">
      <alignment vertical="top"/>
    </xf>
    <xf numFmtId="3" fontId="4" fillId="0" borderId="0" xfId="0" applyNumberFormat="1" applyFont="1" applyFill="1" applyAlignment="1">
      <alignment horizontal="center" vertical="top"/>
    </xf>
    <xf numFmtId="0" fontId="13" fillId="0" borderId="0" xfId="0" applyFont="1" applyFill="1"/>
    <xf numFmtId="3" fontId="13" fillId="0" borderId="0" xfId="0" applyNumberFormat="1" applyFont="1" applyFill="1" applyAlignment="1">
      <alignment horizontal="center" vertical="top"/>
    </xf>
    <xf numFmtId="0" fontId="13" fillId="0" borderId="0" xfId="0" applyFont="1" applyFill="1" applyAlignment="1">
      <alignment vertical="top"/>
    </xf>
    <xf numFmtId="43" fontId="13" fillId="0" borderId="0" xfId="1" applyFont="1" applyFill="1" applyAlignment="1">
      <alignment vertical="top"/>
    </xf>
    <xf numFmtId="188" fontId="13" fillId="0" borderId="0" xfId="0" applyNumberFormat="1" applyFont="1" applyFill="1" applyAlignment="1">
      <alignment vertical="top"/>
    </xf>
    <xf numFmtId="190" fontId="4" fillId="0" borderId="0" xfId="0" applyNumberFormat="1" applyFont="1" applyFill="1"/>
    <xf numFmtId="189" fontId="4" fillId="0" borderId="6" xfId="1" applyNumberFormat="1" applyFont="1" applyFill="1" applyBorder="1" applyAlignment="1">
      <alignment horizontal="right" vertical="center"/>
    </xf>
    <xf numFmtId="43" fontId="4" fillId="0" borderId="6" xfId="1" applyFont="1" applyFill="1" applyBorder="1" applyAlignment="1">
      <alignment vertical="center"/>
    </xf>
    <xf numFmtId="0" fontId="12" fillId="0" borderId="0" xfId="2" applyFont="1" applyAlignment="1">
      <alignment vertical="top"/>
    </xf>
    <xf numFmtId="0" fontId="11" fillId="0" borderId="5" xfId="0" applyFont="1" applyFill="1" applyBorder="1" applyAlignment="1">
      <alignment horizontal="center" vertical="center" shrinkToFit="1"/>
    </xf>
    <xf numFmtId="43" fontId="4" fillId="0" borderId="5" xfId="1" applyFont="1" applyFill="1" applyBorder="1" applyAlignment="1">
      <alignment horizontal="left" vertical="center" shrinkToFit="1"/>
    </xf>
    <xf numFmtId="0" fontId="10" fillId="0" borderId="0" xfId="0" applyFont="1"/>
    <xf numFmtId="43" fontId="4" fillId="0" borderId="6" xfId="1" applyFont="1" applyFill="1" applyBorder="1" applyAlignment="1">
      <alignment horizontal="left" vertical="center" shrinkToFit="1"/>
    </xf>
    <xf numFmtId="0" fontId="4" fillId="0" borderId="6" xfId="0" applyFont="1" applyFill="1" applyBorder="1" applyAlignment="1">
      <alignment horizontal="left" vertical="center" wrapText="1"/>
    </xf>
    <xf numFmtId="43" fontId="4" fillId="0" borderId="10" xfId="1" applyFont="1" applyFill="1" applyBorder="1" applyAlignment="1">
      <alignment horizontal="left" vertical="center" shrinkToFit="1"/>
    </xf>
    <xf numFmtId="43" fontId="4" fillId="0" borderId="11" xfId="1" applyFont="1" applyFill="1" applyBorder="1" applyAlignment="1">
      <alignment horizontal="right" vertical="center" shrinkToFit="1"/>
    </xf>
    <xf numFmtId="43" fontId="4" fillId="0" borderId="13" xfId="1" applyFont="1" applyFill="1" applyBorder="1" applyAlignment="1">
      <alignment horizontal="right" vertical="center" shrinkToFit="1"/>
    </xf>
    <xf numFmtId="43" fontId="10" fillId="0" borderId="0" xfId="1" applyFont="1" applyFill="1"/>
    <xf numFmtId="43" fontId="10" fillId="0" borderId="0" xfId="1" applyFont="1"/>
    <xf numFmtId="0" fontId="10" fillId="0" borderId="0" xfId="0" applyFont="1" applyFill="1"/>
    <xf numFmtId="40" fontId="10" fillId="0" borderId="0" xfId="1" applyNumberFormat="1" applyFont="1" applyFill="1"/>
    <xf numFmtId="0" fontId="17" fillId="0" borderId="0" xfId="0" applyFont="1" applyFill="1" applyBorder="1"/>
    <xf numFmtId="0" fontId="11" fillId="0" borderId="5" xfId="0" applyFont="1" applyFill="1" applyBorder="1" applyAlignment="1">
      <alignment horizontal="center" vertical="center" wrapText="1" shrinkToFit="1"/>
    </xf>
    <xf numFmtId="43" fontId="11" fillId="0" borderId="5" xfId="1" applyFont="1" applyFill="1" applyBorder="1" applyAlignment="1">
      <alignment horizontal="center" vertical="center" wrapText="1" shrinkToFit="1"/>
    </xf>
    <xf numFmtId="43" fontId="11" fillId="0" borderId="5" xfId="1" applyFont="1" applyFill="1" applyBorder="1" applyAlignment="1">
      <alignment horizontal="center" vertical="center" shrinkToFit="1"/>
    </xf>
    <xf numFmtId="0" fontId="11" fillId="0" borderId="0" xfId="0" applyFont="1" applyFill="1" applyAlignment="1">
      <alignment horizontal="center" vertical="center" shrinkToFit="1"/>
    </xf>
    <xf numFmtId="187"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shrinkToFit="1"/>
    </xf>
    <xf numFmtId="187" fontId="4" fillId="0" borderId="5" xfId="0" applyNumberFormat="1" applyFont="1" applyFill="1" applyBorder="1" applyAlignment="1">
      <alignment horizontal="center" vertical="center"/>
    </xf>
    <xf numFmtId="0" fontId="4" fillId="0" borderId="7" xfId="0" applyFont="1" applyFill="1" applyBorder="1" applyAlignment="1">
      <alignment horizontal="center" vertical="center" shrinkToFit="1"/>
    </xf>
    <xf numFmtId="43" fontId="4" fillId="0" borderId="0" xfId="1" applyFont="1" applyFill="1" applyBorder="1" applyAlignment="1">
      <alignment horizontal="right" vertical="center" shrinkToFit="1"/>
    </xf>
    <xf numFmtId="0" fontId="10" fillId="0" borderId="0" xfId="0" applyFont="1" applyFill="1" applyAlignment="1">
      <alignment horizontal="right" vertical="center" shrinkToFit="1"/>
    </xf>
    <xf numFmtId="188" fontId="10" fillId="0" borderId="0" xfId="0" applyNumberFormat="1" applyFont="1" applyFill="1"/>
    <xf numFmtId="0" fontId="20" fillId="0" borderId="0" xfId="2" applyFont="1"/>
    <xf numFmtId="43" fontId="22" fillId="0" borderId="0" xfId="1" applyFont="1" applyFill="1"/>
    <xf numFmtId="43" fontId="4" fillId="0" borderId="2" xfId="1" applyFont="1" applyFill="1" applyBorder="1" applyAlignment="1">
      <alignment horizontal="center" vertical="center" wrapText="1"/>
    </xf>
    <xf numFmtId="40" fontId="4" fillId="0" borderId="5" xfId="1" applyNumberFormat="1" applyFont="1" applyFill="1" applyBorder="1" applyAlignment="1">
      <alignment horizontal="center" vertical="center" wrapText="1"/>
    </xf>
    <xf numFmtId="43" fontId="23" fillId="5" borderId="5" xfId="1" applyFont="1" applyFill="1" applyBorder="1" applyAlignment="1">
      <alignment vertical="top" shrinkToFit="1"/>
    </xf>
    <xf numFmtId="187" fontId="23" fillId="5" borderId="5" xfId="1" applyNumberFormat="1" applyFont="1" applyFill="1" applyBorder="1" applyAlignment="1">
      <alignment horizontal="right" vertical="top" shrinkToFit="1"/>
    </xf>
    <xf numFmtId="43" fontId="23" fillId="5" borderId="5" xfId="1" applyFont="1" applyFill="1" applyBorder="1" applyAlignment="1">
      <alignment shrinkToFit="1"/>
    </xf>
    <xf numFmtId="43" fontId="23" fillId="0" borderId="0" xfId="1" applyFont="1" applyFill="1" applyAlignment="1">
      <alignment shrinkToFit="1"/>
    </xf>
    <xf numFmtId="49" fontId="4" fillId="0" borderId="5" xfId="1" applyNumberFormat="1" applyFont="1" applyFill="1" applyBorder="1" applyAlignment="1">
      <alignment horizontal="center" vertical="center" wrapText="1" shrinkToFit="1"/>
    </xf>
    <xf numFmtId="187" fontId="4" fillId="0" borderId="5" xfId="0" applyNumberFormat="1" applyFont="1" applyFill="1" applyBorder="1" applyAlignment="1">
      <alignment vertical="center" shrinkToFit="1"/>
    </xf>
    <xf numFmtId="187" fontId="4" fillId="0" borderId="5" xfId="1" applyNumberFormat="1" applyFont="1" applyFill="1" applyBorder="1" applyAlignment="1">
      <alignment vertical="center" shrinkToFit="1"/>
    </xf>
    <xf numFmtId="43" fontId="4" fillId="0" borderId="0" xfId="1" applyFont="1" applyFill="1" applyAlignment="1">
      <alignment shrinkToFit="1"/>
    </xf>
    <xf numFmtId="43" fontId="4" fillId="0" borderId="5" xfId="1" applyFont="1" applyFill="1" applyBorder="1" applyAlignment="1">
      <alignment horizontal="right" vertical="center" wrapText="1"/>
    </xf>
    <xf numFmtId="43" fontId="4" fillId="0" borderId="5" xfId="1" applyFont="1" applyBorder="1" applyAlignment="1">
      <alignment vertical="center" shrinkToFit="1"/>
    </xf>
    <xf numFmtId="40" fontId="4" fillId="0" borderId="6" xfId="0" applyNumberFormat="1" applyFont="1" applyFill="1" applyBorder="1" applyAlignment="1">
      <alignment horizontal="right" vertical="center" wrapText="1"/>
    </xf>
    <xf numFmtId="40" fontId="5" fillId="7" borderId="5" xfId="1" applyNumberFormat="1" applyFont="1" applyFill="1" applyBorder="1" applyAlignment="1">
      <alignment horizontal="right" vertical="center" shrinkToFit="1"/>
    </xf>
    <xf numFmtId="187" fontId="4" fillId="5" borderId="5" xfId="0" applyNumberFormat="1" applyFont="1" applyFill="1" applyBorder="1" applyAlignment="1">
      <alignment vertical="center" shrinkToFit="1"/>
    </xf>
    <xf numFmtId="187" fontId="23" fillId="5" borderId="5" xfId="1" applyNumberFormat="1" applyFont="1" applyFill="1" applyBorder="1" applyAlignment="1">
      <alignment vertical="center" shrinkToFit="1"/>
    </xf>
    <xf numFmtId="43" fontId="23" fillId="5" borderId="5" xfId="1" applyFont="1" applyFill="1" applyBorder="1" applyAlignment="1">
      <alignment vertical="center" shrinkToFit="1"/>
    </xf>
    <xf numFmtId="0" fontId="4" fillId="0" borderId="5" xfId="1" applyNumberFormat="1" applyFont="1" applyFill="1" applyBorder="1" applyAlignment="1">
      <alignment horizontal="center" vertical="center" wrapText="1" shrinkToFit="1"/>
    </xf>
    <xf numFmtId="40" fontId="4" fillId="0" borderId="7" xfId="0" applyNumberFormat="1" applyFont="1" applyFill="1" applyBorder="1" applyAlignment="1">
      <alignment horizontal="right" vertical="center" wrapText="1"/>
    </xf>
    <xf numFmtId="43" fontId="4" fillId="0" borderId="9" xfId="1" applyFont="1" applyFill="1" applyBorder="1" applyAlignment="1">
      <alignment vertical="center" wrapText="1" shrinkToFit="1"/>
    </xf>
    <xf numFmtId="43" fontId="4" fillId="0" borderId="9" xfId="1" applyFont="1" applyFill="1" applyBorder="1" applyAlignment="1">
      <alignment shrinkToFit="1"/>
    </xf>
    <xf numFmtId="40" fontId="4" fillId="0" borderId="15" xfId="1" applyNumberFormat="1" applyFont="1" applyFill="1" applyBorder="1" applyAlignment="1">
      <alignment vertical="center" wrapText="1" shrinkToFit="1"/>
    </xf>
    <xf numFmtId="43" fontId="4" fillId="0" borderId="0" xfId="1" applyFont="1" applyFill="1" applyBorder="1" applyAlignment="1">
      <alignment vertical="center" shrinkToFit="1"/>
    </xf>
    <xf numFmtId="2" fontId="4" fillId="0" borderId="0" xfId="1" applyNumberFormat="1" applyFont="1" applyFill="1"/>
    <xf numFmtId="43" fontId="4" fillId="0" borderId="0" xfId="1" applyFont="1" applyAlignment="1">
      <alignment vertical="center" shrinkToFit="1"/>
    </xf>
    <xf numFmtId="43" fontId="4" fillId="0" borderId="14" xfId="1" applyFont="1" applyFill="1" applyBorder="1" applyAlignment="1">
      <alignment vertical="center" wrapText="1" shrinkToFit="1"/>
    </xf>
    <xf numFmtId="0" fontId="4" fillId="0" borderId="14" xfId="1" applyNumberFormat="1" applyFont="1" applyFill="1" applyBorder="1" applyAlignment="1">
      <alignment horizontal="center" vertical="center" wrapText="1" shrinkToFit="1"/>
    </xf>
    <xf numFmtId="40" fontId="4" fillId="0" borderId="6" xfId="0" applyNumberFormat="1" applyFont="1" applyBorder="1" applyAlignment="1">
      <alignment horizontal="right" vertical="center"/>
    </xf>
    <xf numFmtId="43" fontId="5" fillId="7" borderId="5" xfId="1" applyFont="1" applyFill="1" applyBorder="1" applyAlignment="1">
      <alignment horizontal="right" vertical="center" shrinkToFit="1"/>
    </xf>
    <xf numFmtId="49" fontId="4" fillId="0" borderId="5" xfId="1" applyNumberFormat="1" applyFont="1" applyFill="1" applyBorder="1" applyAlignment="1">
      <alignment horizontal="center"/>
    </xf>
    <xf numFmtId="43" fontId="4" fillId="0" borderId="6" xfId="1" applyFont="1" applyFill="1" applyBorder="1" applyAlignment="1">
      <alignment horizontal="right" vertical="center" wrapText="1"/>
    </xf>
    <xf numFmtId="0" fontId="23" fillId="0" borderId="0" xfId="0" applyFont="1"/>
    <xf numFmtId="43" fontId="8" fillId="0" borderId="0" xfId="1" applyFont="1" applyAlignment="1">
      <alignment horizontal="left"/>
    </xf>
    <xf numFmtId="0" fontId="8" fillId="0" borderId="0" xfId="0" applyFont="1"/>
    <xf numFmtId="43" fontId="11" fillId="0" borderId="5" xfId="1" applyFont="1" applyFill="1" applyBorder="1" applyAlignment="1">
      <alignment horizontal="center" vertical="center" wrapText="1"/>
    </xf>
    <xf numFmtId="0" fontId="10" fillId="0" borderId="5" xfId="0" applyFont="1" applyBorder="1" applyAlignment="1">
      <alignment vertical="top" wrapText="1"/>
    </xf>
    <xf numFmtId="43" fontId="10" fillId="0" borderId="5" xfId="1" applyFont="1" applyBorder="1" applyAlignment="1">
      <alignment vertical="center"/>
    </xf>
    <xf numFmtId="43" fontId="10" fillId="0" borderId="5" xfId="1" applyFont="1" applyFill="1" applyBorder="1" applyAlignment="1">
      <alignment vertical="center" wrapText="1"/>
    </xf>
    <xf numFmtId="0" fontId="10" fillId="0" borderId="5" xfId="0" applyFont="1" applyBorder="1" applyAlignment="1">
      <alignment horizontal="left" vertical="top" wrapText="1"/>
    </xf>
    <xf numFmtId="0" fontId="10" fillId="0" borderId="5" xfId="0" applyFont="1" applyBorder="1" applyAlignment="1">
      <alignment horizontal="center"/>
    </xf>
    <xf numFmtId="191" fontId="10" fillId="0" borderId="0" xfId="0" applyNumberFormat="1" applyFont="1"/>
    <xf numFmtId="0" fontId="13" fillId="0" borderId="0" xfId="0" applyFont="1"/>
    <xf numFmtId="0" fontId="24" fillId="0" borderId="0" xfId="0" applyFont="1"/>
    <xf numFmtId="0" fontId="10" fillId="0" borderId="0" xfId="2" applyFont="1" applyAlignment="1">
      <alignment vertical="top"/>
    </xf>
    <xf numFmtId="0" fontId="16" fillId="0" borderId="0" xfId="2" applyFont="1" applyAlignment="1">
      <alignment vertical="top"/>
    </xf>
    <xf numFmtId="0" fontId="25" fillId="0" borderId="0" xfId="2" applyFont="1" applyAlignment="1">
      <alignment vertical="top"/>
    </xf>
    <xf numFmtId="0" fontId="26" fillId="0" borderId="0" xfId="2" applyFont="1" applyAlignment="1">
      <alignment vertical="top"/>
    </xf>
    <xf numFmtId="0" fontId="27" fillId="0" borderId="0" xfId="2" applyFont="1"/>
    <xf numFmtId="0" fontId="26" fillId="0" borderId="0" xfId="2" applyFont="1" applyAlignment="1">
      <alignment horizontal="left" vertical="top"/>
    </xf>
    <xf numFmtId="0" fontId="20" fillId="0" borderId="0" xfId="2" applyFont="1" applyAlignment="1">
      <alignment vertical="top"/>
    </xf>
    <xf numFmtId="43" fontId="4" fillId="5" borderId="2" xfId="1" applyNumberFormat="1" applyFont="1" applyFill="1" applyBorder="1" applyAlignment="1">
      <alignment horizontal="center" vertical="center"/>
    </xf>
    <xf numFmtId="43" fontId="4" fillId="5" borderId="3" xfId="1" applyNumberFormat="1" applyFont="1" applyFill="1" applyBorder="1" applyAlignment="1">
      <alignment horizontal="center" vertical="center"/>
    </xf>
    <xf numFmtId="43" fontId="4" fillId="5" borderId="4" xfId="1" applyNumberFormat="1" applyFont="1" applyFill="1" applyBorder="1" applyAlignment="1">
      <alignment horizontal="center" vertical="center"/>
    </xf>
    <xf numFmtId="40" fontId="4" fillId="5" borderId="2" xfId="0" applyNumberFormat="1" applyFont="1" applyFill="1" applyBorder="1" applyAlignment="1">
      <alignment horizontal="center" vertical="center" wrapText="1"/>
    </xf>
    <xf numFmtId="40" fontId="4" fillId="5" borderId="3" xfId="0" applyNumberFormat="1" applyFont="1" applyFill="1" applyBorder="1" applyAlignment="1">
      <alignment horizontal="center" vertical="center" wrapText="1"/>
    </xf>
    <xf numFmtId="40" fontId="4" fillId="5" borderId="4" xfId="0" applyNumberFormat="1"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39" fontId="8" fillId="0" borderId="2" xfId="0" applyNumberFormat="1" applyFont="1" applyBorder="1" applyAlignment="1">
      <alignment horizontal="center" vertical="center"/>
    </xf>
    <xf numFmtId="39" fontId="8" fillId="0" borderId="3" xfId="0" applyNumberFormat="1" applyFont="1" applyBorder="1" applyAlignment="1">
      <alignment horizontal="center" vertical="center"/>
    </xf>
    <xf numFmtId="39" fontId="8" fillId="0" borderId="4" xfId="0" applyNumberFormat="1" applyFont="1" applyBorder="1" applyAlignment="1">
      <alignment horizontal="center" vertical="center"/>
    </xf>
    <xf numFmtId="43" fontId="4" fillId="0" borderId="2" xfId="1" applyNumberFormat="1" applyFont="1" applyFill="1" applyBorder="1" applyAlignment="1">
      <alignment horizontal="center" vertical="center"/>
    </xf>
    <xf numFmtId="43" fontId="4" fillId="0" borderId="3" xfId="1" applyNumberFormat="1" applyFont="1" applyFill="1" applyBorder="1" applyAlignment="1">
      <alignment horizontal="center" vertical="center"/>
    </xf>
    <xf numFmtId="43" fontId="4" fillId="0" borderId="4" xfId="1" applyNumberFormat="1" applyFont="1" applyFill="1" applyBorder="1" applyAlignment="1">
      <alignment horizontal="center" vertical="center"/>
    </xf>
    <xf numFmtId="43" fontId="4" fillId="0" borderId="2" xfId="1" applyFont="1" applyFill="1" applyBorder="1" applyAlignment="1">
      <alignment horizontal="center" vertical="center" wrapText="1" shrinkToFit="1"/>
    </xf>
    <xf numFmtId="43" fontId="4" fillId="0" borderId="3" xfId="1" applyFont="1" applyFill="1" applyBorder="1" applyAlignment="1">
      <alignment horizontal="center" vertical="center" wrapText="1" shrinkToFit="1"/>
    </xf>
    <xf numFmtId="43" fontId="4" fillId="0" borderId="4" xfId="1" applyFont="1" applyFill="1" applyBorder="1" applyAlignment="1">
      <alignment horizontal="center" vertical="center" wrapText="1" shrinkToFit="1"/>
    </xf>
    <xf numFmtId="0" fontId="2" fillId="0" borderId="0" xfId="0" applyFont="1" applyFill="1" applyAlignment="1">
      <alignment horizontal="center"/>
    </xf>
    <xf numFmtId="188" fontId="2" fillId="0" borderId="0" xfId="0" applyNumberFormat="1" applyFont="1" applyFill="1" applyAlignment="1">
      <alignment horizontal="center"/>
    </xf>
    <xf numFmtId="0" fontId="5" fillId="0" borderId="5" xfId="0"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188" fontId="9" fillId="0" borderId="5" xfId="0" applyNumberFormat="1" applyFont="1" applyFill="1" applyBorder="1" applyAlignment="1">
      <alignment horizontal="center" vertical="center"/>
    </xf>
    <xf numFmtId="0" fontId="9" fillId="0" borderId="0" xfId="2" applyFont="1" applyAlignment="1">
      <alignment horizontal="left" vertical="top" wrapText="1"/>
    </xf>
    <xf numFmtId="0" fontId="13" fillId="0" borderId="0" xfId="2" applyFont="1" applyBorder="1" applyAlignment="1">
      <alignment horizontal="left" vertical="top" wrapText="1"/>
    </xf>
    <xf numFmtId="188" fontId="9" fillId="0" borderId="5" xfId="0" applyNumberFormat="1" applyFont="1" applyFill="1" applyBorder="1" applyAlignment="1">
      <alignment horizontal="center" vertical="top"/>
    </xf>
    <xf numFmtId="0" fontId="9" fillId="0" borderId="5" xfId="0" applyFont="1" applyFill="1" applyBorder="1" applyAlignment="1">
      <alignment horizontal="center" vertical="center" wrapText="1" shrinkToFit="1"/>
    </xf>
    <xf numFmtId="0" fontId="13" fillId="0" borderId="5" xfId="0" applyFont="1" applyFill="1" applyBorder="1" applyAlignment="1">
      <alignment horizontal="center" vertical="center" wrapText="1"/>
    </xf>
    <xf numFmtId="39" fontId="9" fillId="0" borderId="5" xfId="0" applyNumberFormat="1" applyFont="1" applyFill="1" applyBorder="1" applyAlignment="1">
      <alignment horizontal="center" vertical="center"/>
    </xf>
    <xf numFmtId="0" fontId="21" fillId="0" borderId="0" xfId="2" applyFont="1" applyAlignment="1">
      <alignment horizontal="center"/>
    </xf>
    <xf numFmtId="43" fontId="4" fillId="0" borderId="2" xfId="1" applyFont="1" applyFill="1" applyBorder="1" applyAlignment="1">
      <alignment horizontal="center" vertical="center"/>
    </xf>
    <xf numFmtId="43" fontId="4" fillId="0" borderId="3" xfId="1" applyFont="1" applyFill="1" applyBorder="1" applyAlignment="1">
      <alignment horizontal="center" vertical="center"/>
    </xf>
    <xf numFmtId="43" fontId="4" fillId="0" borderId="4" xfId="1" applyFont="1" applyFill="1" applyBorder="1" applyAlignment="1">
      <alignment horizontal="center" vertical="center"/>
    </xf>
    <xf numFmtId="43" fontId="4" fillId="0" borderId="5" xfId="1" applyFont="1" applyFill="1" applyBorder="1" applyAlignment="1">
      <alignment horizontal="center" vertical="center" wrapText="1"/>
    </xf>
    <xf numFmtId="43" fontId="23" fillId="5" borderId="2" xfId="1" applyFont="1" applyFill="1" applyBorder="1" applyAlignment="1">
      <alignment vertical="center" wrapText="1" shrinkToFit="1"/>
    </xf>
    <xf numFmtId="43" fontId="23" fillId="5" borderId="3" xfId="1" applyFont="1" applyFill="1" applyBorder="1" applyAlignment="1">
      <alignment vertical="center" wrapText="1" shrinkToFit="1"/>
    </xf>
    <xf numFmtId="0" fontId="17" fillId="0" borderId="0" xfId="0" applyFont="1" applyFill="1" applyAlignment="1">
      <alignment horizontal="center"/>
    </xf>
    <xf numFmtId="43" fontId="13" fillId="0" borderId="5" xfId="1" applyFont="1" applyFill="1" applyBorder="1" applyAlignment="1">
      <alignment horizontal="center" vertical="center"/>
    </xf>
    <xf numFmtId="0" fontId="8" fillId="0" borderId="0" xfId="0" applyFont="1" applyAlignment="1">
      <alignment horizontal="center"/>
    </xf>
    <xf numFmtId="0" fontId="11" fillId="0" borderId="5" xfId="0" applyFont="1" applyBorder="1" applyAlignment="1">
      <alignment horizontal="center" vertical="center" wrapText="1"/>
    </xf>
    <xf numFmtId="0" fontId="11" fillId="0" borderId="5" xfId="0" applyFont="1" applyBorder="1" applyAlignment="1">
      <alignment horizontal="center"/>
    </xf>
    <xf numFmtId="0" fontId="8" fillId="0" borderId="0" xfId="2" applyFont="1" applyAlignment="1">
      <alignment horizontal="center" vertical="top" wrapText="1"/>
    </xf>
    <xf numFmtId="0" fontId="28" fillId="0" borderId="0" xfId="2" applyFont="1" applyAlignment="1">
      <alignment horizontal="center" vertical="top" wrapText="1"/>
    </xf>
    <xf numFmtId="0" fontId="26" fillId="0" borderId="0" xfId="2" applyFont="1" applyAlignment="1">
      <alignment horizontal="left" vertical="center" wrapText="1"/>
    </xf>
    <xf numFmtId="0" fontId="26" fillId="0" borderId="0" xfId="2" applyFont="1" applyBorder="1" applyAlignment="1">
      <alignment horizontal="left" vertical="center" wrapText="1"/>
    </xf>
    <xf numFmtId="0" fontId="15" fillId="0" borderId="0" xfId="2" applyFont="1" applyAlignment="1">
      <alignment vertical="top"/>
    </xf>
    <xf numFmtId="0" fontId="29" fillId="0" borderId="0" xfId="2" applyFont="1" applyAlignment="1">
      <alignment vertical="top"/>
    </xf>
  </cellXfs>
  <cellStyles count="3">
    <cellStyle name="Normal 2" xfId="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wnloads/&#3586;&#3657;&#3629;&#3617;&#3641;&#3621;&#3592;&#3634;&#3585;&#3650;&#3611;&#3619;&#3649;&#3585;&#3619;&#3617;&#3627;&#3621;&#3633;&#3591;&#3611;&#3633;&#3609;&#3626;&#3656;&#3623;&#3609;&#3607;&#3634;&#3591;&#3629;&#3657;&#3629;&#36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มบูรณ์"/>
      <sheetName val="สมบูรณ์ (2)"/>
      <sheetName val="กระดาษทำงาน"/>
      <sheetName val="ccfundaccforrreport"/>
      <sheetName val="2100400017"/>
      <sheetName val="Sheet1"/>
    </sheetNames>
    <sheetDataSet>
      <sheetData sheetId="0" refreshError="1">
        <row r="1601">
          <cell r="E1601">
            <v>171273.57</v>
          </cell>
        </row>
        <row r="1632">
          <cell r="E1632">
            <v>424615.8</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4"/>
  <sheetViews>
    <sheetView workbookViewId="0">
      <pane ySplit="6" topLeftCell="A192" activePane="bottomLeft" state="frozen"/>
      <selection pane="bottomLeft" activeCell="L6" sqref="L6"/>
    </sheetView>
  </sheetViews>
  <sheetFormatPr defaultRowHeight="15.75" x14ac:dyDescent="0.2"/>
  <cols>
    <col min="1" max="1" width="23.875" style="6" customWidth="1"/>
    <col min="2" max="2" width="14.5" style="2" hidden="1" customWidth="1"/>
    <col min="3" max="3" width="15.125" style="4" hidden="1" customWidth="1"/>
    <col min="4" max="4" width="14.125" style="4" hidden="1" customWidth="1"/>
    <col min="5" max="5" width="13.125" style="4" hidden="1" customWidth="1"/>
    <col min="6" max="6" width="17.375" style="4" hidden="1" customWidth="1"/>
    <col min="7" max="7" width="12.875" style="4" hidden="1" customWidth="1"/>
    <col min="8" max="8" width="8" style="2" hidden="1" customWidth="1"/>
    <col min="9" max="9" width="14.625" style="5" hidden="1" customWidth="1"/>
    <col min="10" max="11" width="14.625" style="5" customWidth="1"/>
    <col min="12" max="12" width="16.25" style="5" customWidth="1"/>
    <col min="13" max="17" width="14.625" style="5" customWidth="1"/>
    <col min="18" max="19" width="11" style="5" customWidth="1"/>
    <col min="20" max="20" width="13.375" style="1" customWidth="1"/>
    <col min="21" max="21" width="9.5" style="2" customWidth="1"/>
    <col min="22" max="22" width="10.375" style="2" bestFit="1" customWidth="1"/>
    <col min="23" max="23" width="11.125" style="2" bestFit="1" customWidth="1"/>
    <col min="24" max="24" width="8.375" style="2" bestFit="1" customWidth="1"/>
    <col min="25" max="25" width="10.25" style="2" bestFit="1" customWidth="1"/>
    <col min="26" max="256" width="9" style="2"/>
    <col min="257" max="257" width="23.875" style="2" customWidth="1"/>
    <col min="258" max="258" width="14.5" style="2" customWidth="1"/>
    <col min="259" max="259" width="15.125" style="2" customWidth="1"/>
    <col min="260" max="260" width="14.125" style="2" customWidth="1"/>
    <col min="261" max="261" width="13.125" style="2" customWidth="1"/>
    <col min="262" max="262" width="17.375" style="2" customWidth="1"/>
    <col min="263" max="263" width="12.875" style="2" customWidth="1"/>
    <col min="264" max="264" width="8" style="2" customWidth="1"/>
    <col min="265" max="267" width="14.625" style="2" customWidth="1"/>
    <col min="268" max="268" width="16.25" style="2" customWidth="1"/>
    <col min="269" max="273" width="14.625" style="2" customWidth="1"/>
    <col min="274" max="275" width="11" style="2" customWidth="1"/>
    <col min="276" max="276" width="13.375" style="2" customWidth="1"/>
    <col min="277" max="277" width="9.5" style="2" customWidth="1"/>
    <col min="278" max="278" width="10.375" style="2" bestFit="1" customWidth="1"/>
    <col min="279" max="279" width="11.125" style="2" bestFit="1" customWidth="1"/>
    <col min="280" max="280" width="8.375" style="2" bestFit="1" customWidth="1"/>
    <col min="281" max="281" width="10.25" style="2" bestFit="1" customWidth="1"/>
    <col min="282" max="512" width="9" style="2"/>
    <col min="513" max="513" width="23.875" style="2" customWidth="1"/>
    <col min="514" max="514" width="14.5" style="2" customWidth="1"/>
    <col min="515" max="515" width="15.125" style="2" customWidth="1"/>
    <col min="516" max="516" width="14.125" style="2" customWidth="1"/>
    <col min="517" max="517" width="13.125" style="2" customWidth="1"/>
    <col min="518" max="518" width="17.375" style="2" customWidth="1"/>
    <col min="519" max="519" width="12.875" style="2" customWidth="1"/>
    <col min="520" max="520" width="8" style="2" customWidth="1"/>
    <col min="521" max="523" width="14.625" style="2" customWidth="1"/>
    <col min="524" max="524" width="16.25" style="2" customWidth="1"/>
    <col min="525" max="529" width="14.625" style="2" customWidth="1"/>
    <col min="530" max="531" width="11" style="2" customWidth="1"/>
    <col min="532" max="532" width="13.375" style="2" customWidth="1"/>
    <col min="533" max="533" width="9.5" style="2" customWidth="1"/>
    <col min="534" max="534" width="10.375" style="2" bestFit="1" customWidth="1"/>
    <col min="535" max="535" width="11.125" style="2" bestFit="1" customWidth="1"/>
    <col min="536" max="536" width="8.375" style="2" bestFit="1" customWidth="1"/>
    <col min="537" max="537" width="10.25" style="2" bestFit="1" customWidth="1"/>
    <col min="538" max="768" width="9" style="2"/>
    <col min="769" max="769" width="23.875" style="2" customWidth="1"/>
    <col min="770" max="770" width="14.5" style="2" customWidth="1"/>
    <col min="771" max="771" width="15.125" style="2" customWidth="1"/>
    <col min="772" max="772" width="14.125" style="2" customWidth="1"/>
    <col min="773" max="773" width="13.125" style="2" customWidth="1"/>
    <col min="774" max="774" width="17.375" style="2" customWidth="1"/>
    <col min="775" max="775" width="12.875" style="2" customWidth="1"/>
    <col min="776" max="776" width="8" style="2" customWidth="1"/>
    <col min="777" max="779" width="14.625" style="2" customWidth="1"/>
    <col min="780" max="780" width="16.25" style="2" customWidth="1"/>
    <col min="781" max="785" width="14.625" style="2" customWidth="1"/>
    <col min="786" max="787" width="11" style="2" customWidth="1"/>
    <col min="788" max="788" width="13.375" style="2" customWidth="1"/>
    <col min="789" max="789" width="9.5" style="2" customWidth="1"/>
    <col min="790" max="790" width="10.375" style="2" bestFit="1" customWidth="1"/>
    <col min="791" max="791" width="11.125" style="2" bestFit="1" customWidth="1"/>
    <col min="792" max="792" width="8.375" style="2" bestFit="1" customWidth="1"/>
    <col min="793" max="793" width="10.25" style="2" bestFit="1" customWidth="1"/>
    <col min="794" max="1024" width="9" style="2"/>
    <col min="1025" max="1025" width="23.875" style="2" customWidth="1"/>
    <col min="1026" max="1026" width="14.5" style="2" customWidth="1"/>
    <col min="1027" max="1027" width="15.125" style="2" customWidth="1"/>
    <col min="1028" max="1028" width="14.125" style="2" customWidth="1"/>
    <col min="1029" max="1029" width="13.125" style="2" customWidth="1"/>
    <col min="1030" max="1030" width="17.375" style="2" customWidth="1"/>
    <col min="1031" max="1031" width="12.875" style="2" customWidth="1"/>
    <col min="1032" max="1032" width="8" style="2" customWidth="1"/>
    <col min="1033" max="1035" width="14.625" style="2" customWidth="1"/>
    <col min="1036" max="1036" width="16.25" style="2" customWidth="1"/>
    <col min="1037" max="1041" width="14.625" style="2" customWidth="1"/>
    <col min="1042" max="1043" width="11" style="2" customWidth="1"/>
    <col min="1044" max="1044" width="13.375" style="2" customWidth="1"/>
    <col min="1045" max="1045" width="9.5" style="2" customWidth="1"/>
    <col min="1046" max="1046" width="10.375" style="2" bestFit="1" customWidth="1"/>
    <col min="1047" max="1047" width="11.125" style="2" bestFit="1" customWidth="1"/>
    <col min="1048" max="1048" width="8.375" style="2" bestFit="1" customWidth="1"/>
    <col min="1049" max="1049" width="10.25" style="2" bestFit="1" customWidth="1"/>
    <col min="1050" max="1280" width="9" style="2"/>
    <col min="1281" max="1281" width="23.875" style="2" customWidth="1"/>
    <col min="1282" max="1282" width="14.5" style="2" customWidth="1"/>
    <col min="1283" max="1283" width="15.125" style="2" customWidth="1"/>
    <col min="1284" max="1284" width="14.125" style="2" customWidth="1"/>
    <col min="1285" max="1285" width="13.125" style="2" customWidth="1"/>
    <col min="1286" max="1286" width="17.375" style="2" customWidth="1"/>
    <col min="1287" max="1287" width="12.875" style="2" customWidth="1"/>
    <col min="1288" max="1288" width="8" style="2" customWidth="1"/>
    <col min="1289" max="1291" width="14.625" style="2" customWidth="1"/>
    <col min="1292" max="1292" width="16.25" style="2" customWidth="1"/>
    <col min="1293" max="1297" width="14.625" style="2" customWidth="1"/>
    <col min="1298" max="1299" width="11" style="2" customWidth="1"/>
    <col min="1300" max="1300" width="13.375" style="2" customWidth="1"/>
    <col min="1301" max="1301" width="9.5" style="2" customWidth="1"/>
    <col min="1302" max="1302" width="10.375" style="2" bestFit="1" customWidth="1"/>
    <col min="1303" max="1303" width="11.125" style="2" bestFit="1" customWidth="1"/>
    <col min="1304" max="1304" width="8.375" style="2" bestFit="1" customWidth="1"/>
    <col min="1305" max="1305" width="10.25" style="2" bestFit="1" customWidth="1"/>
    <col min="1306" max="1536" width="9" style="2"/>
    <col min="1537" max="1537" width="23.875" style="2" customWidth="1"/>
    <col min="1538" max="1538" width="14.5" style="2" customWidth="1"/>
    <col min="1539" max="1539" width="15.125" style="2" customWidth="1"/>
    <col min="1540" max="1540" width="14.125" style="2" customWidth="1"/>
    <col min="1541" max="1541" width="13.125" style="2" customWidth="1"/>
    <col min="1542" max="1542" width="17.375" style="2" customWidth="1"/>
    <col min="1543" max="1543" width="12.875" style="2" customWidth="1"/>
    <col min="1544" max="1544" width="8" style="2" customWidth="1"/>
    <col min="1545" max="1547" width="14.625" style="2" customWidth="1"/>
    <col min="1548" max="1548" width="16.25" style="2" customWidth="1"/>
    <col min="1549" max="1553" width="14.625" style="2" customWidth="1"/>
    <col min="1554" max="1555" width="11" style="2" customWidth="1"/>
    <col min="1556" max="1556" width="13.375" style="2" customWidth="1"/>
    <col min="1557" max="1557" width="9.5" style="2" customWidth="1"/>
    <col min="1558" max="1558" width="10.375" style="2" bestFit="1" customWidth="1"/>
    <col min="1559" max="1559" width="11.125" style="2" bestFit="1" customWidth="1"/>
    <col min="1560" max="1560" width="8.375" style="2" bestFit="1" customWidth="1"/>
    <col min="1561" max="1561" width="10.25" style="2" bestFit="1" customWidth="1"/>
    <col min="1562" max="1792" width="9" style="2"/>
    <col min="1793" max="1793" width="23.875" style="2" customWidth="1"/>
    <col min="1794" max="1794" width="14.5" style="2" customWidth="1"/>
    <col min="1795" max="1795" width="15.125" style="2" customWidth="1"/>
    <col min="1796" max="1796" width="14.125" style="2" customWidth="1"/>
    <col min="1797" max="1797" width="13.125" style="2" customWidth="1"/>
    <col min="1798" max="1798" width="17.375" style="2" customWidth="1"/>
    <col min="1799" max="1799" width="12.875" style="2" customWidth="1"/>
    <col min="1800" max="1800" width="8" style="2" customWidth="1"/>
    <col min="1801" max="1803" width="14.625" style="2" customWidth="1"/>
    <col min="1804" max="1804" width="16.25" style="2" customWidth="1"/>
    <col min="1805" max="1809" width="14.625" style="2" customWidth="1"/>
    <col min="1810" max="1811" width="11" style="2" customWidth="1"/>
    <col min="1812" max="1812" width="13.375" style="2" customWidth="1"/>
    <col min="1813" max="1813" width="9.5" style="2" customWidth="1"/>
    <col min="1814" max="1814" width="10.375" style="2" bestFit="1" customWidth="1"/>
    <col min="1815" max="1815" width="11.125" style="2" bestFit="1" customWidth="1"/>
    <col min="1816" max="1816" width="8.375" style="2" bestFit="1" customWidth="1"/>
    <col min="1817" max="1817" width="10.25" style="2" bestFit="1" customWidth="1"/>
    <col min="1818" max="2048" width="9" style="2"/>
    <col min="2049" max="2049" width="23.875" style="2" customWidth="1"/>
    <col min="2050" max="2050" width="14.5" style="2" customWidth="1"/>
    <col min="2051" max="2051" width="15.125" style="2" customWidth="1"/>
    <col min="2052" max="2052" width="14.125" style="2" customWidth="1"/>
    <col min="2053" max="2053" width="13.125" style="2" customWidth="1"/>
    <col min="2054" max="2054" width="17.375" style="2" customWidth="1"/>
    <col min="2055" max="2055" width="12.875" style="2" customWidth="1"/>
    <col min="2056" max="2056" width="8" style="2" customWidth="1"/>
    <col min="2057" max="2059" width="14.625" style="2" customWidth="1"/>
    <col min="2060" max="2060" width="16.25" style="2" customWidth="1"/>
    <col min="2061" max="2065" width="14.625" style="2" customWidth="1"/>
    <col min="2066" max="2067" width="11" style="2" customWidth="1"/>
    <col min="2068" max="2068" width="13.375" style="2" customWidth="1"/>
    <col min="2069" max="2069" width="9.5" style="2" customWidth="1"/>
    <col min="2070" max="2070" width="10.375" style="2" bestFit="1" customWidth="1"/>
    <col min="2071" max="2071" width="11.125" style="2" bestFit="1" customWidth="1"/>
    <col min="2072" max="2072" width="8.375" style="2" bestFit="1" customWidth="1"/>
    <col min="2073" max="2073" width="10.25" style="2" bestFit="1" customWidth="1"/>
    <col min="2074" max="2304" width="9" style="2"/>
    <col min="2305" max="2305" width="23.875" style="2" customWidth="1"/>
    <col min="2306" max="2306" width="14.5" style="2" customWidth="1"/>
    <col min="2307" max="2307" width="15.125" style="2" customWidth="1"/>
    <col min="2308" max="2308" width="14.125" style="2" customWidth="1"/>
    <col min="2309" max="2309" width="13.125" style="2" customWidth="1"/>
    <col min="2310" max="2310" width="17.375" style="2" customWidth="1"/>
    <col min="2311" max="2311" width="12.875" style="2" customWidth="1"/>
    <col min="2312" max="2312" width="8" style="2" customWidth="1"/>
    <col min="2313" max="2315" width="14.625" style="2" customWidth="1"/>
    <col min="2316" max="2316" width="16.25" style="2" customWidth="1"/>
    <col min="2317" max="2321" width="14.625" style="2" customWidth="1"/>
    <col min="2322" max="2323" width="11" style="2" customWidth="1"/>
    <col min="2324" max="2324" width="13.375" style="2" customWidth="1"/>
    <col min="2325" max="2325" width="9.5" style="2" customWidth="1"/>
    <col min="2326" max="2326" width="10.375" style="2" bestFit="1" customWidth="1"/>
    <col min="2327" max="2327" width="11.125" style="2" bestFit="1" customWidth="1"/>
    <col min="2328" max="2328" width="8.375" style="2" bestFit="1" customWidth="1"/>
    <col min="2329" max="2329" width="10.25" style="2" bestFit="1" customWidth="1"/>
    <col min="2330" max="2560" width="9" style="2"/>
    <col min="2561" max="2561" width="23.875" style="2" customWidth="1"/>
    <col min="2562" max="2562" width="14.5" style="2" customWidth="1"/>
    <col min="2563" max="2563" width="15.125" style="2" customWidth="1"/>
    <col min="2564" max="2564" width="14.125" style="2" customWidth="1"/>
    <col min="2565" max="2565" width="13.125" style="2" customWidth="1"/>
    <col min="2566" max="2566" width="17.375" style="2" customWidth="1"/>
    <col min="2567" max="2567" width="12.875" style="2" customWidth="1"/>
    <col min="2568" max="2568" width="8" style="2" customWidth="1"/>
    <col min="2569" max="2571" width="14.625" style="2" customWidth="1"/>
    <col min="2572" max="2572" width="16.25" style="2" customWidth="1"/>
    <col min="2573" max="2577" width="14.625" style="2" customWidth="1"/>
    <col min="2578" max="2579" width="11" style="2" customWidth="1"/>
    <col min="2580" max="2580" width="13.375" style="2" customWidth="1"/>
    <col min="2581" max="2581" width="9.5" style="2" customWidth="1"/>
    <col min="2582" max="2582" width="10.375" style="2" bestFit="1" customWidth="1"/>
    <col min="2583" max="2583" width="11.125" style="2" bestFit="1" customWidth="1"/>
    <col min="2584" max="2584" width="8.375" style="2" bestFit="1" customWidth="1"/>
    <col min="2585" max="2585" width="10.25" style="2" bestFit="1" customWidth="1"/>
    <col min="2586" max="2816" width="9" style="2"/>
    <col min="2817" max="2817" width="23.875" style="2" customWidth="1"/>
    <col min="2818" max="2818" width="14.5" style="2" customWidth="1"/>
    <col min="2819" max="2819" width="15.125" style="2" customWidth="1"/>
    <col min="2820" max="2820" width="14.125" style="2" customWidth="1"/>
    <col min="2821" max="2821" width="13.125" style="2" customWidth="1"/>
    <col min="2822" max="2822" width="17.375" style="2" customWidth="1"/>
    <col min="2823" max="2823" width="12.875" style="2" customWidth="1"/>
    <col min="2824" max="2824" width="8" style="2" customWidth="1"/>
    <col min="2825" max="2827" width="14.625" style="2" customWidth="1"/>
    <col min="2828" max="2828" width="16.25" style="2" customWidth="1"/>
    <col min="2829" max="2833" width="14.625" style="2" customWidth="1"/>
    <col min="2834" max="2835" width="11" style="2" customWidth="1"/>
    <col min="2836" max="2836" width="13.375" style="2" customWidth="1"/>
    <col min="2837" max="2837" width="9.5" style="2" customWidth="1"/>
    <col min="2838" max="2838" width="10.375" style="2" bestFit="1" customWidth="1"/>
    <col min="2839" max="2839" width="11.125" style="2" bestFit="1" customWidth="1"/>
    <col min="2840" max="2840" width="8.375" style="2" bestFit="1" customWidth="1"/>
    <col min="2841" max="2841" width="10.25" style="2" bestFit="1" customWidth="1"/>
    <col min="2842" max="3072" width="9" style="2"/>
    <col min="3073" max="3073" width="23.875" style="2" customWidth="1"/>
    <col min="3074" max="3074" width="14.5" style="2" customWidth="1"/>
    <col min="3075" max="3075" width="15.125" style="2" customWidth="1"/>
    <col min="3076" max="3076" width="14.125" style="2" customWidth="1"/>
    <col min="3077" max="3077" width="13.125" style="2" customWidth="1"/>
    <col min="3078" max="3078" width="17.375" style="2" customWidth="1"/>
    <col min="3079" max="3079" width="12.875" style="2" customWidth="1"/>
    <col min="3080" max="3080" width="8" style="2" customWidth="1"/>
    <col min="3081" max="3083" width="14.625" style="2" customWidth="1"/>
    <col min="3084" max="3084" width="16.25" style="2" customWidth="1"/>
    <col min="3085" max="3089" width="14.625" style="2" customWidth="1"/>
    <col min="3090" max="3091" width="11" style="2" customWidth="1"/>
    <col min="3092" max="3092" width="13.375" style="2" customWidth="1"/>
    <col min="3093" max="3093" width="9.5" style="2" customWidth="1"/>
    <col min="3094" max="3094" width="10.375" style="2" bestFit="1" customWidth="1"/>
    <col min="3095" max="3095" width="11.125" style="2" bestFit="1" customWidth="1"/>
    <col min="3096" max="3096" width="8.375" style="2" bestFit="1" customWidth="1"/>
    <col min="3097" max="3097" width="10.25" style="2" bestFit="1" customWidth="1"/>
    <col min="3098" max="3328" width="9" style="2"/>
    <col min="3329" max="3329" width="23.875" style="2" customWidth="1"/>
    <col min="3330" max="3330" width="14.5" style="2" customWidth="1"/>
    <col min="3331" max="3331" width="15.125" style="2" customWidth="1"/>
    <col min="3332" max="3332" width="14.125" style="2" customWidth="1"/>
    <col min="3333" max="3333" width="13.125" style="2" customWidth="1"/>
    <col min="3334" max="3334" width="17.375" style="2" customWidth="1"/>
    <col min="3335" max="3335" width="12.875" style="2" customWidth="1"/>
    <col min="3336" max="3336" width="8" style="2" customWidth="1"/>
    <col min="3337" max="3339" width="14.625" style="2" customWidth="1"/>
    <col min="3340" max="3340" width="16.25" style="2" customWidth="1"/>
    <col min="3341" max="3345" width="14.625" style="2" customWidth="1"/>
    <col min="3346" max="3347" width="11" style="2" customWidth="1"/>
    <col min="3348" max="3348" width="13.375" style="2" customWidth="1"/>
    <col min="3349" max="3349" width="9.5" style="2" customWidth="1"/>
    <col min="3350" max="3350" width="10.375" style="2" bestFit="1" customWidth="1"/>
    <col min="3351" max="3351" width="11.125" style="2" bestFit="1" customWidth="1"/>
    <col min="3352" max="3352" width="8.375" style="2" bestFit="1" customWidth="1"/>
    <col min="3353" max="3353" width="10.25" style="2" bestFit="1" customWidth="1"/>
    <col min="3354" max="3584" width="9" style="2"/>
    <col min="3585" max="3585" width="23.875" style="2" customWidth="1"/>
    <col min="3586" max="3586" width="14.5" style="2" customWidth="1"/>
    <col min="3587" max="3587" width="15.125" style="2" customWidth="1"/>
    <col min="3588" max="3588" width="14.125" style="2" customWidth="1"/>
    <col min="3589" max="3589" width="13.125" style="2" customWidth="1"/>
    <col min="3590" max="3590" width="17.375" style="2" customWidth="1"/>
    <col min="3591" max="3591" width="12.875" style="2" customWidth="1"/>
    <col min="3592" max="3592" width="8" style="2" customWidth="1"/>
    <col min="3593" max="3595" width="14.625" style="2" customWidth="1"/>
    <col min="3596" max="3596" width="16.25" style="2" customWidth="1"/>
    <col min="3597" max="3601" width="14.625" style="2" customWidth="1"/>
    <col min="3602" max="3603" width="11" style="2" customWidth="1"/>
    <col min="3604" max="3604" width="13.375" style="2" customWidth="1"/>
    <col min="3605" max="3605" width="9.5" style="2" customWidth="1"/>
    <col min="3606" max="3606" width="10.375" style="2" bestFit="1" customWidth="1"/>
    <col min="3607" max="3607" width="11.125" style="2" bestFit="1" customWidth="1"/>
    <col min="3608" max="3608" width="8.375" style="2" bestFit="1" customWidth="1"/>
    <col min="3609" max="3609" width="10.25" style="2" bestFit="1" customWidth="1"/>
    <col min="3610" max="3840" width="9" style="2"/>
    <col min="3841" max="3841" width="23.875" style="2" customWidth="1"/>
    <col min="3842" max="3842" width="14.5" style="2" customWidth="1"/>
    <col min="3843" max="3843" width="15.125" style="2" customWidth="1"/>
    <col min="3844" max="3844" width="14.125" style="2" customWidth="1"/>
    <col min="3845" max="3845" width="13.125" style="2" customWidth="1"/>
    <col min="3846" max="3846" width="17.375" style="2" customWidth="1"/>
    <col min="3847" max="3847" width="12.875" style="2" customWidth="1"/>
    <col min="3848" max="3848" width="8" style="2" customWidth="1"/>
    <col min="3849" max="3851" width="14.625" style="2" customWidth="1"/>
    <col min="3852" max="3852" width="16.25" style="2" customWidth="1"/>
    <col min="3853" max="3857" width="14.625" style="2" customWidth="1"/>
    <col min="3858" max="3859" width="11" style="2" customWidth="1"/>
    <col min="3860" max="3860" width="13.375" style="2" customWidth="1"/>
    <col min="3861" max="3861" width="9.5" style="2" customWidth="1"/>
    <col min="3862" max="3862" width="10.375" style="2" bestFit="1" customWidth="1"/>
    <col min="3863" max="3863" width="11.125" style="2" bestFit="1" customWidth="1"/>
    <col min="3864" max="3864" width="8.375" style="2" bestFit="1" customWidth="1"/>
    <col min="3865" max="3865" width="10.25" style="2" bestFit="1" customWidth="1"/>
    <col min="3866" max="4096" width="9" style="2"/>
    <col min="4097" max="4097" width="23.875" style="2" customWidth="1"/>
    <col min="4098" max="4098" width="14.5" style="2" customWidth="1"/>
    <col min="4099" max="4099" width="15.125" style="2" customWidth="1"/>
    <col min="4100" max="4100" width="14.125" style="2" customWidth="1"/>
    <col min="4101" max="4101" width="13.125" style="2" customWidth="1"/>
    <col min="4102" max="4102" width="17.375" style="2" customWidth="1"/>
    <col min="4103" max="4103" width="12.875" style="2" customWidth="1"/>
    <col min="4104" max="4104" width="8" style="2" customWidth="1"/>
    <col min="4105" max="4107" width="14.625" style="2" customWidth="1"/>
    <col min="4108" max="4108" width="16.25" style="2" customWidth="1"/>
    <col min="4109" max="4113" width="14.625" style="2" customWidth="1"/>
    <col min="4114" max="4115" width="11" style="2" customWidth="1"/>
    <col min="4116" max="4116" width="13.375" style="2" customWidth="1"/>
    <col min="4117" max="4117" width="9.5" style="2" customWidth="1"/>
    <col min="4118" max="4118" width="10.375" style="2" bestFit="1" customWidth="1"/>
    <col min="4119" max="4119" width="11.125" style="2" bestFit="1" customWidth="1"/>
    <col min="4120" max="4120" width="8.375" style="2" bestFit="1" customWidth="1"/>
    <col min="4121" max="4121" width="10.25" style="2" bestFit="1" customWidth="1"/>
    <col min="4122" max="4352" width="9" style="2"/>
    <col min="4353" max="4353" width="23.875" style="2" customWidth="1"/>
    <col min="4354" max="4354" width="14.5" style="2" customWidth="1"/>
    <col min="4355" max="4355" width="15.125" style="2" customWidth="1"/>
    <col min="4356" max="4356" width="14.125" style="2" customWidth="1"/>
    <col min="4357" max="4357" width="13.125" style="2" customWidth="1"/>
    <col min="4358" max="4358" width="17.375" style="2" customWidth="1"/>
    <col min="4359" max="4359" width="12.875" style="2" customWidth="1"/>
    <col min="4360" max="4360" width="8" style="2" customWidth="1"/>
    <col min="4361" max="4363" width="14.625" style="2" customWidth="1"/>
    <col min="4364" max="4364" width="16.25" style="2" customWidth="1"/>
    <col min="4365" max="4369" width="14.625" style="2" customWidth="1"/>
    <col min="4370" max="4371" width="11" style="2" customWidth="1"/>
    <col min="4372" max="4372" width="13.375" style="2" customWidth="1"/>
    <col min="4373" max="4373" width="9.5" style="2" customWidth="1"/>
    <col min="4374" max="4374" width="10.375" style="2" bestFit="1" customWidth="1"/>
    <col min="4375" max="4375" width="11.125" style="2" bestFit="1" customWidth="1"/>
    <col min="4376" max="4376" width="8.375" style="2" bestFit="1" customWidth="1"/>
    <col min="4377" max="4377" width="10.25" style="2" bestFit="1" customWidth="1"/>
    <col min="4378" max="4608" width="9" style="2"/>
    <col min="4609" max="4609" width="23.875" style="2" customWidth="1"/>
    <col min="4610" max="4610" width="14.5" style="2" customWidth="1"/>
    <col min="4611" max="4611" width="15.125" style="2" customWidth="1"/>
    <col min="4612" max="4612" width="14.125" style="2" customWidth="1"/>
    <col min="4613" max="4613" width="13.125" style="2" customWidth="1"/>
    <col min="4614" max="4614" width="17.375" style="2" customWidth="1"/>
    <col min="4615" max="4615" width="12.875" style="2" customWidth="1"/>
    <col min="4616" max="4616" width="8" style="2" customWidth="1"/>
    <col min="4617" max="4619" width="14.625" style="2" customWidth="1"/>
    <col min="4620" max="4620" width="16.25" style="2" customWidth="1"/>
    <col min="4621" max="4625" width="14.625" style="2" customWidth="1"/>
    <col min="4626" max="4627" width="11" style="2" customWidth="1"/>
    <col min="4628" max="4628" width="13.375" style="2" customWidth="1"/>
    <col min="4629" max="4629" width="9.5" style="2" customWidth="1"/>
    <col min="4630" max="4630" width="10.375" style="2" bestFit="1" customWidth="1"/>
    <col min="4631" max="4631" width="11.125" style="2" bestFit="1" customWidth="1"/>
    <col min="4632" max="4632" width="8.375" style="2" bestFit="1" customWidth="1"/>
    <col min="4633" max="4633" width="10.25" style="2" bestFit="1" customWidth="1"/>
    <col min="4634" max="4864" width="9" style="2"/>
    <col min="4865" max="4865" width="23.875" style="2" customWidth="1"/>
    <col min="4866" max="4866" width="14.5" style="2" customWidth="1"/>
    <col min="4867" max="4867" width="15.125" style="2" customWidth="1"/>
    <col min="4868" max="4868" width="14.125" style="2" customWidth="1"/>
    <col min="4869" max="4869" width="13.125" style="2" customWidth="1"/>
    <col min="4870" max="4870" width="17.375" style="2" customWidth="1"/>
    <col min="4871" max="4871" width="12.875" style="2" customWidth="1"/>
    <col min="4872" max="4872" width="8" style="2" customWidth="1"/>
    <col min="4873" max="4875" width="14.625" style="2" customWidth="1"/>
    <col min="4876" max="4876" width="16.25" style="2" customWidth="1"/>
    <col min="4877" max="4881" width="14.625" style="2" customWidth="1"/>
    <col min="4882" max="4883" width="11" style="2" customWidth="1"/>
    <col min="4884" max="4884" width="13.375" style="2" customWidth="1"/>
    <col min="4885" max="4885" width="9.5" style="2" customWidth="1"/>
    <col min="4886" max="4886" width="10.375" style="2" bestFit="1" customWidth="1"/>
    <col min="4887" max="4887" width="11.125" style="2" bestFit="1" customWidth="1"/>
    <col min="4888" max="4888" width="8.375" style="2" bestFit="1" customWidth="1"/>
    <col min="4889" max="4889" width="10.25" style="2" bestFit="1" customWidth="1"/>
    <col min="4890" max="5120" width="9" style="2"/>
    <col min="5121" max="5121" width="23.875" style="2" customWidth="1"/>
    <col min="5122" max="5122" width="14.5" style="2" customWidth="1"/>
    <col min="5123" max="5123" width="15.125" style="2" customWidth="1"/>
    <col min="5124" max="5124" width="14.125" style="2" customWidth="1"/>
    <col min="5125" max="5125" width="13.125" style="2" customWidth="1"/>
    <col min="5126" max="5126" width="17.375" style="2" customWidth="1"/>
    <col min="5127" max="5127" width="12.875" style="2" customWidth="1"/>
    <col min="5128" max="5128" width="8" style="2" customWidth="1"/>
    <col min="5129" max="5131" width="14.625" style="2" customWidth="1"/>
    <col min="5132" max="5132" width="16.25" style="2" customWidth="1"/>
    <col min="5133" max="5137" width="14.625" style="2" customWidth="1"/>
    <col min="5138" max="5139" width="11" style="2" customWidth="1"/>
    <col min="5140" max="5140" width="13.375" style="2" customWidth="1"/>
    <col min="5141" max="5141" width="9.5" style="2" customWidth="1"/>
    <col min="5142" max="5142" width="10.375" style="2" bestFit="1" customWidth="1"/>
    <col min="5143" max="5143" width="11.125" style="2" bestFit="1" customWidth="1"/>
    <col min="5144" max="5144" width="8.375" style="2" bestFit="1" customWidth="1"/>
    <col min="5145" max="5145" width="10.25" style="2" bestFit="1" customWidth="1"/>
    <col min="5146" max="5376" width="9" style="2"/>
    <col min="5377" max="5377" width="23.875" style="2" customWidth="1"/>
    <col min="5378" max="5378" width="14.5" style="2" customWidth="1"/>
    <col min="5379" max="5379" width="15.125" style="2" customWidth="1"/>
    <col min="5380" max="5380" width="14.125" style="2" customWidth="1"/>
    <col min="5381" max="5381" width="13.125" style="2" customWidth="1"/>
    <col min="5382" max="5382" width="17.375" style="2" customWidth="1"/>
    <col min="5383" max="5383" width="12.875" style="2" customWidth="1"/>
    <col min="5384" max="5384" width="8" style="2" customWidth="1"/>
    <col min="5385" max="5387" width="14.625" style="2" customWidth="1"/>
    <col min="5388" max="5388" width="16.25" style="2" customWidth="1"/>
    <col min="5389" max="5393" width="14.625" style="2" customWidth="1"/>
    <col min="5394" max="5395" width="11" style="2" customWidth="1"/>
    <col min="5396" max="5396" width="13.375" style="2" customWidth="1"/>
    <col min="5397" max="5397" width="9.5" style="2" customWidth="1"/>
    <col min="5398" max="5398" width="10.375" style="2" bestFit="1" customWidth="1"/>
    <col min="5399" max="5399" width="11.125" style="2" bestFit="1" customWidth="1"/>
    <col min="5400" max="5400" width="8.375" style="2" bestFit="1" customWidth="1"/>
    <col min="5401" max="5401" width="10.25" style="2" bestFit="1" customWidth="1"/>
    <col min="5402" max="5632" width="9" style="2"/>
    <col min="5633" max="5633" width="23.875" style="2" customWidth="1"/>
    <col min="5634" max="5634" width="14.5" style="2" customWidth="1"/>
    <col min="5635" max="5635" width="15.125" style="2" customWidth="1"/>
    <col min="5636" max="5636" width="14.125" style="2" customWidth="1"/>
    <col min="5637" max="5637" width="13.125" style="2" customWidth="1"/>
    <col min="5638" max="5638" width="17.375" style="2" customWidth="1"/>
    <col min="5639" max="5639" width="12.875" style="2" customWidth="1"/>
    <col min="5640" max="5640" width="8" style="2" customWidth="1"/>
    <col min="5641" max="5643" width="14.625" style="2" customWidth="1"/>
    <col min="5644" max="5644" width="16.25" style="2" customWidth="1"/>
    <col min="5645" max="5649" width="14.625" style="2" customWidth="1"/>
    <col min="5650" max="5651" width="11" style="2" customWidth="1"/>
    <col min="5652" max="5652" width="13.375" style="2" customWidth="1"/>
    <col min="5653" max="5653" width="9.5" style="2" customWidth="1"/>
    <col min="5654" max="5654" width="10.375" style="2" bestFit="1" customWidth="1"/>
    <col min="5655" max="5655" width="11.125" style="2" bestFit="1" customWidth="1"/>
    <col min="5656" max="5656" width="8.375" style="2" bestFit="1" customWidth="1"/>
    <col min="5657" max="5657" width="10.25" style="2" bestFit="1" customWidth="1"/>
    <col min="5658" max="5888" width="9" style="2"/>
    <col min="5889" max="5889" width="23.875" style="2" customWidth="1"/>
    <col min="5890" max="5890" width="14.5" style="2" customWidth="1"/>
    <col min="5891" max="5891" width="15.125" style="2" customWidth="1"/>
    <col min="5892" max="5892" width="14.125" style="2" customWidth="1"/>
    <col min="5893" max="5893" width="13.125" style="2" customWidth="1"/>
    <col min="5894" max="5894" width="17.375" style="2" customWidth="1"/>
    <col min="5895" max="5895" width="12.875" style="2" customWidth="1"/>
    <col min="5896" max="5896" width="8" style="2" customWidth="1"/>
    <col min="5897" max="5899" width="14.625" style="2" customWidth="1"/>
    <col min="5900" max="5900" width="16.25" style="2" customWidth="1"/>
    <col min="5901" max="5905" width="14.625" style="2" customWidth="1"/>
    <col min="5906" max="5907" width="11" style="2" customWidth="1"/>
    <col min="5908" max="5908" width="13.375" style="2" customWidth="1"/>
    <col min="5909" max="5909" width="9.5" style="2" customWidth="1"/>
    <col min="5910" max="5910" width="10.375" style="2" bestFit="1" customWidth="1"/>
    <col min="5911" max="5911" width="11.125" style="2" bestFit="1" customWidth="1"/>
    <col min="5912" max="5912" width="8.375" style="2" bestFit="1" customWidth="1"/>
    <col min="5913" max="5913" width="10.25" style="2" bestFit="1" customWidth="1"/>
    <col min="5914" max="6144" width="9" style="2"/>
    <col min="6145" max="6145" width="23.875" style="2" customWidth="1"/>
    <col min="6146" max="6146" width="14.5" style="2" customWidth="1"/>
    <col min="6147" max="6147" width="15.125" style="2" customWidth="1"/>
    <col min="6148" max="6148" width="14.125" style="2" customWidth="1"/>
    <col min="6149" max="6149" width="13.125" style="2" customWidth="1"/>
    <col min="6150" max="6150" width="17.375" style="2" customWidth="1"/>
    <col min="6151" max="6151" width="12.875" style="2" customWidth="1"/>
    <col min="6152" max="6152" width="8" style="2" customWidth="1"/>
    <col min="6153" max="6155" width="14.625" style="2" customWidth="1"/>
    <col min="6156" max="6156" width="16.25" style="2" customWidth="1"/>
    <col min="6157" max="6161" width="14.625" style="2" customWidth="1"/>
    <col min="6162" max="6163" width="11" style="2" customWidth="1"/>
    <col min="6164" max="6164" width="13.375" style="2" customWidth="1"/>
    <col min="6165" max="6165" width="9.5" style="2" customWidth="1"/>
    <col min="6166" max="6166" width="10.375" style="2" bestFit="1" customWidth="1"/>
    <col min="6167" max="6167" width="11.125" style="2" bestFit="1" customWidth="1"/>
    <col min="6168" max="6168" width="8.375" style="2" bestFit="1" customWidth="1"/>
    <col min="6169" max="6169" width="10.25" style="2" bestFit="1" customWidth="1"/>
    <col min="6170" max="6400" width="9" style="2"/>
    <col min="6401" max="6401" width="23.875" style="2" customWidth="1"/>
    <col min="6402" max="6402" width="14.5" style="2" customWidth="1"/>
    <col min="6403" max="6403" width="15.125" style="2" customWidth="1"/>
    <col min="6404" max="6404" width="14.125" style="2" customWidth="1"/>
    <col min="6405" max="6405" width="13.125" style="2" customWidth="1"/>
    <col min="6406" max="6406" width="17.375" style="2" customWidth="1"/>
    <col min="6407" max="6407" width="12.875" style="2" customWidth="1"/>
    <col min="6408" max="6408" width="8" style="2" customWidth="1"/>
    <col min="6409" max="6411" width="14.625" style="2" customWidth="1"/>
    <col min="6412" max="6412" width="16.25" style="2" customWidth="1"/>
    <col min="6413" max="6417" width="14.625" style="2" customWidth="1"/>
    <col min="6418" max="6419" width="11" style="2" customWidth="1"/>
    <col min="6420" max="6420" width="13.375" style="2" customWidth="1"/>
    <col min="6421" max="6421" width="9.5" style="2" customWidth="1"/>
    <col min="6422" max="6422" width="10.375" style="2" bestFit="1" customWidth="1"/>
    <col min="6423" max="6423" width="11.125" style="2" bestFit="1" customWidth="1"/>
    <col min="6424" max="6424" width="8.375" style="2" bestFit="1" customWidth="1"/>
    <col min="6425" max="6425" width="10.25" style="2" bestFit="1" customWidth="1"/>
    <col min="6426" max="6656" width="9" style="2"/>
    <col min="6657" max="6657" width="23.875" style="2" customWidth="1"/>
    <col min="6658" max="6658" width="14.5" style="2" customWidth="1"/>
    <col min="6659" max="6659" width="15.125" style="2" customWidth="1"/>
    <col min="6660" max="6660" width="14.125" style="2" customWidth="1"/>
    <col min="6661" max="6661" width="13.125" style="2" customWidth="1"/>
    <col min="6662" max="6662" width="17.375" style="2" customWidth="1"/>
    <col min="6663" max="6663" width="12.875" style="2" customWidth="1"/>
    <col min="6664" max="6664" width="8" style="2" customWidth="1"/>
    <col min="6665" max="6667" width="14.625" style="2" customWidth="1"/>
    <col min="6668" max="6668" width="16.25" style="2" customWidth="1"/>
    <col min="6669" max="6673" width="14.625" style="2" customWidth="1"/>
    <col min="6674" max="6675" width="11" style="2" customWidth="1"/>
    <col min="6676" max="6676" width="13.375" style="2" customWidth="1"/>
    <col min="6677" max="6677" width="9.5" style="2" customWidth="1"/>
    <col min="6678" max="6678" width="10.375" style="2" bestFit="1" customWidth="1"/>
    <col min="6679" max="6679" width="11.125" style="2" bestFit="1" customWidth="1"/>
    <col min="6680" max="6680" width="8.375" style="2" bestFit="1" customWidth="1"/>
    <col min="6681" max="6681" width="10.25" style="2" bestFit="1" customWidth="1"/>
    <col min="6682" max="6912" width="9" style="2"/>
    <col min="6913" max="6913" width="23.875" style="2" customWidth="1"/>
    <col min="6914" max="6914" width="14.5" style="2" customWidth="1"/>
    <col min="6915" max="6915" width="15.125" style="2" customWidth="1"/>
    <col min="6916" max="6916" width="14.125" style="2" customWidth="1"/>
    <col min="6917" max="6917" width="13.125" style="2" customWidth="1"/>
    <col min="6918" max="6918" width="17.375" style="2" customWidth="1"/>
    <col min="6919" max="6919" width="12.875" style="2" customWidth="1"/>
    <col min="6920" max="6920" width="8" style="2" customWidth="1"/>
    <col min="6921" max="6923" width="14.625" style="2" customWidth="1"/>
    <col min="6924" max="6924" width="16.25" style="2" customWidth="1"/>
    <col min="6925" max="6929" width="14.625" style="2" customWidth="1"/>
    <col min="6930" max="6931" width="11" style="2" customWidth="1"/>
    <col min="6932" max="6932" width="13.375" style="2" customWidth="1"/>
    <col min="6933" max="6933" width="9.5" style="2" customWidth="1"/>
    <col min="6934" max="6934" width="10.375" style="2" bestFit="1" customWidth="1"/>
    <col min="6935" max="6935" width="11.125" style="2" bestFit="1" customWidth="1"/>
    <col min="6936" max="6936" width="8.375" style="2" bestFit="1" customWidth="1"/>
    <col min="6937" max="6937" width="10.25" style="2" bestFit="1" customWidth="1"/>
    <col min="6938" max="7168" width="9" style="2"/>
    <col min="7169" max="7169" width="23.875" style="2" customWidth="1"/>
    <col min="7170" max="7170" width="14.5" style="2" customWidth="1"/>
    <col min="7171" max="7171" width="15.125" style="2" customWidth="1"/>
    <col min="7172" max="7172" width="14.125" style="2" customWidth="1"/>
    <col min="7173" max="7173" width="13.125" style="2" customWidth="1"/>
    <col min="7174" max="7174" width="17.375" style="2" customWidth="1"/>
    <col min="7175" max="7175" width="12.875" style="2" customWidth="1"/>
    <col min="7176" max="7176" width="8" style="2" customWidth="1"/>
    <col min="7177" max="7179" width="14.625" style="2" customWidth="1"/>
    <col min="7180" max="7180" width="16.25" style="2" customWidth="1"/>
    <col min="7181" max="7185" width="14.625" style="2" customWidth="1"/>
    <col min="7186" max="7187" width="11" style="2" customWidth="1"/>
    <col min="7188" max="7188" width="13.375" style="2" customWidth="1"/>
    <col min="7189" max="7189" width="9.5" style="2" customWidth="1"/>
    <col min="7190" max="7190" width="10.375" style="2" bestFit="1" customWidth="1"/>
    <col min="7191" max="7191" width="11.125" style="2" bestFit="1" customWidth="1"/>
    <col min="7192" max="7192" width="8.375" style="2" bestFit="1" customWidth="1"/>
    <col min="7193" max="7193" width="10.25" style="2" bestFit="1" customWidth="1"/>
    <col min="7194" max="7424" width="9" style="2"/>
    <col min="7425" max="7425" width="23.875" style="2" customWidth="1"/>
    <col min="7426" max="7426" width="14.5" style="2" customWidth="1"/>
    <col min="7427" max="7427" width="15.125" style="2" customWidth="1"/>
    <col min="7428" max="7428" width="14.125" style="2" customWidth="1"/>
    <col min="7429" max="7429" width="13.125" style="2" customWidth="1"/>
    <col min="7430" max="7430" width="17.375" style="2" customWidth="1"/>
    <col min="7431" max="7431" width="12.875" style="2" customWidth="1"/>
    <col min="7432" max="7432" width="8" style="2" customWidth="1"/>
    <col min="7433" max="7435" width="14.625" style="2" customWidth="1"/>
    <col min="7436" max="7436" width="16.25" style="2" customWidth="1"/>
    <col min="7437" max="7441" width="14.625" style="2" customWidth="1"/>
    <col min="7442" max="7443" width="11" style="2" customWidth="1"/>
    <col min="7444" max="7444" width="13.375" style="2" customWidth="1"/>
    <col min="7445" max="7445" width="9.5" style="2" customWidth="1"/>
    <col min="7446" max="7446" width="10.375" style="2" bestFit="1" customWidth="1"/>
    <col min="7447" max="7447" width="11.125" style="2" bestFit="1" customWidth="1"/>
    <col min="7448" max="7448" width="8.375" style="2" bestFit="1" customWidth="1"/>
    <col min="7449" max="7449" width="10.25" style="2" bestFit="1" customWidth="1"/>
    <col min="7450" max="7680" width="9" style="2"/>
    <col min="7681" max="7681" width="23.875" style="2" customWidth="1"/>
    <col min="7682" max="7682" width="14.5" style="2" customWidth="1"/>
    <col min="7683" max="7683" width="15.125" style="2" customWidth="1"/>
    <col min="7684" max="7684" width="14.125" style="2" customWidth="1"/>
    <col min="7685" max="7685" width="13.125" style="2" customWidth="1"/>
    <col min="7686" max="7686" width="17.375" style="2" customWidth="1"/>
    <col min="7687" max="7687" width="12.875" style="2" customWidth="1"/>
    <col min="7688" max="7688" width="8" style="2" customWidth="1"/>
    <col min="7689" max="7691" width="14.625" style="2" customWidth="1"/>
    <col min="7692" max="7692" width="16.25" style="2" customWidth="1"/>
    <col min="7693" max="7697" width="14.625" style="2" customWidth="1"/>
    <col min="7698" max="7699" width="11" style="2" customWidth="1"/>
    <col min="7700" max="7700" width="13.375" style="2" customWidth="1"/>
    <col min="7701" max="7701" width="9.5" style="2" customWidth="1"/>
    <col min="7702" max="7702" width="10.375" style="2" bestFit="1" customWidth="1"/>
    <col min="7703" max="7703" width="11.125" style="2" bestFit="1" customWidth="1"/>
    <col min="7704" max="7704" width="8.375" style="2" bestFit="1" customWidth="1"/>
    <col min="7705" max="7705" width="10.25" style="2" bestFit="1" customWidth="1"/>
    <col min="7706" max="7936" width="9" style="2"/>
    <col min="7937" max="7937" width="23.875" style="2" customWidth="1"/>
    <col min="7938" max="7938" width="14.5" style="2" customWidth="1"/>
    <col min="7939" max="7939" width="15.125" style="2" customWidth="1"/>
    <col min="7940" max="7940" width="14.125" style="2" customWidth="1"/>
    <col min="7941" max="7941" width="13.125" style="2" customWidth="1"/>
    <col min="7942" max="7942" width="17.375" style="2" customWidth="1"/>
    <col min="7943" max="7943" width="12.875" style="2" customWidth="1"/>
    <col min="7944" max="7944" width="8" style="2" customWidth="1"/>
    <col min="7945" max="7947" width="14.625" style="2" customWidth="1"/>
    <col min="7948" max="7948" width="16.25" style="2" customWidth="1"/>
    <col min="7949" max="7953" width="14.625" style="2" customWidth="1"/>
    <col min="7954" max="7955" width="11" style="2" customWidth="1"/>
    <col min="7956" max="7956" width="13.375" style="2" customWidth="1"/>
    <col min="7957" max="7957" width="9.5" style="2" customWidth="1"/>
    <col min="7958" max="7958" width="10.375" style="2" bestFit="1" customWidth="1"/>
    <col min="7959" max="7959" width="11.125" style="2" bestFit="1" customWidth="1"/>
    <col min="7960" max="7960" width="8.375" style="2" bestFit="1" customWidth="1"/>
    <col min="7961" max="7961" width="10.25" style="2" bestFit="1" customWidth="1"/>
    <col min="7962" max="8192" width="9" style="2"/>
    <col min="8193" max="8193" width="23.875" style="2" customWidth="1"/>
    <col min="8194" max="8194" width="14.5" style="2" customWidth="1"/>
    <col min="8195" max="8195" width="15.125" style="2" customWidth="1"/>
    <col min="8196" max="8196" width="14.125" style="2" customWidth="1"/>
    <col min="8197" max="8197" width="13.125" style="2" customWidth="1"/>
    <col min="8198" max="8198" width="17.375" style="2" customWidth="1"/>
    <col min="8199" max="8199" width="12.875" style="2" customWidth="1"/>
    <col min="8200" max="8200" width="8" style="2" customWidth="1"/>
    <col min="8201" max="8203" width="14.625" style="2" customWidth="1"/>
    <col min="8204" max="8204" width="16.25" style="2" customWidth="1"/>
    <col min="8205" max="8209" width="14.625" style="2" customWidth="1"/>
    <col min="8210" max="8211" width="11" style="2" customWidth="1"/>
    <col min="8212" max="8212" width="13.375" style="2" customWidth="1"/>
    <col min="8213" max="8213" width="9.5" style="2" customWidth="1"/>
    <col min="8214" max="8214" width="10.375" style="2" bestFit="1" customWidth="1"/>
    <col min="8215" max="8215" width="11.125" style="2" bestFit="1" customWidth="1"/>
    <col min="8216" max="8216" width="8.375" style="2" bestFit="1" customWidth="1"/>
    <col min="8217" max="8217" width="10.25" style="2" bestFit="1" customWidth="1"/>
    <col min="8218" max="8448" width="9" style="2"/>
    <col min="8449" max="8449" width="23.875" style="2" customWidth="1"/>
    <col min="8450" max="8450" width="14.5" style="2" customWidth="1"/>
    <col min="8451" max="8451" width="15.125" style="2" customWidth="1"/>
    <col min="8452" max="8452" width="14.125" style="2" customWidth="1"/>
    <col min="8453" max="8453" width="13.125" style="2" customWidth="1"/>
    <col min="8454" max="8454" width="17.375" style="2" customWidth="1"/>
    <col min="8455" max="8455" width="12.875" style="2" customWidth="1"/>
    <col min="8456" max="8456" width="8" style="2" customWidth="1"/>
    <col min="8457" max="8459" width="14.625" style="2" customWidth="1"/>
    <col min="8460" max="8460" width="16.25" style="2" customWidth="1"/>
    <col min="8461" max="8465" width="14.625" style="2" customWidth="1"/>
    <col min="8466" max="8467" width="11" style="2" customWidth="1"/>
    <col min="8468" max="8468" width="13.375" style="2" customWidth="1"/>
    <col min="8469" max="8469" width="9.5" style="2" customWidth="1"/>
    <col min="8470" max="8470" width="10.375" style="2" bestFit="1" customWidth="1"/>
    <col min="8471" max="8471" width="11.125" style="2" bestFit="1" customWidth="1"/>
    <col min="8472" max="8472" width="8.375" style="2" bestFit="1" customWidth="1"/>
    <col min="8473" max="8473" width="10.25" style="2" bestFit="1" customWidth="1"/>
    <col min="8474" max="8704" width="9" style="2"/>
    <col min="8705" max="8705" width="23.875" style="2" customWidth="1"/>
    <col min="8706" max="8706" width="14.5" style="2" customWidth="1"/>
    <col min="8707" max="8707" width="15.125" style="2" customWidth="1"/>
    <col min="8708" max="8708" width="14.125" style="2" customWidth="1"/>
    <col min="8709" max="8709" width="13.125" style="2" customWidth="1"/>
    <col min="8710" max="8710" width="17.375" style="2" customWidth="1"/>
    <col min="8711" max="8711" width="12.875" style="2" customWidth="1"/>
    <col min="8712" max="8712" width="8" style="2" customWidth="1"/>
    <col min="8713" max="8715" width="14.625" style="2" customWidth="1"/>
    <col min="8716" max="8716" width="16.25" style="2" customWidth="1"/>
    <col min="8717" max="8721" width="14.625" style="2" customWidth="1"/>
    <col min="8722" max="8723" width="11" style="2" customWidth="1"/>
    <col min="8724" max="8724" width="13.375" style="2" customWidth="1"/>
    <col min="8725" max="8725" width="9.5" style="2" customWidth="1"/>
    <col min="8726" max="8726" width="10.375" style="2" bestFit="1" customWidth="1"/>
    <col min="8727" max="8727" width="11.125" style="2" bestFit="1" customWidth="1"/>
    <col min="8728" max="8728" width="8.375" style="2" bestFit="1" customWidth="1"/>
    <col min="8729" max="8729" width="10.25" style="2" bestFit="1" customWidth="1"/>
    <col min="8730" max="8960" width="9" style="2"/>
    <col min="8961" max="8961" width="23.875" style="2" customWidth="1"/>
    <col min="8962" max="8962" width="14.5" style="2" customWidth="1"/>
    <col min="8963" max="8963" width="15.125" style="2" customWidth="1"/>
    <col min="8964" max="8964" width="14.125" style="2" customWidth="1"/>
    <col min="8965" max="8965" width="13.125" style="2" customWidth="1"/>
    <col min="8966" max="8966" width="17.375" style="2" customWidth="1"/>
    <col min="8967" max="8967" width="12.875" style="2" customWidth="1"/>
    <col min="8968" max="8968" width="8" style="2" customWidth="1"/>
    <col min="8969" max="8971" width="14.625" style="2" customWidth="1"/>
    <col min="8972" max="8972" width="16.25" style="2" customWidth="1"/>
    <col min="8973" max="8977" width="14.625" style="2" customWidth="1"/>
    <col min="8978" max="8979" width="11" style="2" customWidth="1"/>
    <col min="8980" max="8980" width="13.375" style="2" customWidth="1"/>
    <col min="8981" max="8981" width="9.5" style="2" customWidth="1"/>
    <col min="8982" max="8982" width="10.375" style="2" bestFit="1" customWidth="1"/>
    <col min="8983" max="8983" width="11.125" style="2" bestFit="1" customWidth="1"/>
    <col min="8984" max="8984" width="8.375" style="2" bestFit="1" customWidth="1"/>
    <col min="8985" max="8985" width="10.25" style="2" bestFit="1" customWidth="1"/>
    <col min="8986" max="9216" width="9" style="2"/>
    <col min="9217" max="9217" width="23.875" style="2" customWidth="1"/>
    <col min="9218" max="9218" width="14.5" style="2" customWidth="1"/>
    <col min="9219" max="9219" width="15.125" style="2" customWidth="1"/>
    <col min="9220" max="9220" width="14.125" style="2" customWidth="1"/>
    <col min="9221" max="9221" width="13.125" style="2" customWidth="1"/>
    <col min="9222" max="9222" width="17.375" style="2" customWidth="1"/>
    <col min="9223" max="9223" width="12.875" style="2" customWidth="1"/>
    <col min="9224" max="9224" width="8" style="2" customWidth="1"/>
    <col min="9225" max="9227" width="14.625" style="2" customWidth="1"/>
    <col min="9228" max="9228" width="16.25" style="2" customWidth="1"/>
    <col min="9229" max="9233" width="14.625" style="2" customWidth="1"/>
    <col min="9234" max="9235" width="11" style="2" customWidth="1"/>
    <col min="9236" max="9236" width="13.375" style="2" customWidth="1"/>
    <col min="9237" max="9237" width="9.5" style="2" customWidth="1"/>
    <col min="9238" max="9238" width="10.375" style="2" bestFit="1" customWidth="1"/>
    <col min="9239" max="9239" width="11.125" style="2" bestFit="1" customWidth="1"/>
    <col min="9240" max="9240" width="8.375" style="2" bestFit="1" customWidth="1"/>
    <col min="9241" max="9241" width="10.25" style="2" bestFit="1" customWidth="1"/>
    <col min="9242" max="9472" width="9" style="2"/>
    <col min="9473" max="9473" width="23.875" style="2" customWidth="1"/>
    <col min="9474" max="9474" width="14.5" style="2" customWidth="1"/>
    <col min="9475" max="9475" width="15.125" style="2" customWidth="1"/>
    <col min="9476" max="9476" width="14.125" style="2" customWidth="1"/>
    <col min="9477" max="9477" width="13.125" style="2" customWidth="1"/>
    <col min="9478" max="9478" width="17.375" style="2" customWidth="1"/>
    <col min="9479" max="9479" width="12.875" style="2" customWidth="1"/>
    <col min="9480" max="9480" width="8" style="2" customWidth="1"/>
    <col min="9481" max="9483" width="14.625" style="2" customWidth="1"/>
    <col min="9484" max="9484" width="16.25" style="2" customWidth="1"/>
    <col min="9485" max="9489" width="14.625" style="2" customWidth="1"/>
    <col min="9490" max="9491" width="11" style="2" customWidth="1"/>
    <col min="9492" max="9492" width="13.375" style="2" customWidth="1"/>
    <col min="9493" max="9493" width="9.5" style="2" customWidth="1"/>
    <col min="9494" max="9494" width="10.375" style="2" bestFit="1" customWidth="1"/>
    <col min="9495" max="9495" width="11.125" style="2" bestFit="1" customWidth="1"/>
    <col min="9496" max="9496" width="8.375" style="2" bestFit="1" customWidth="1"/>
    <col min="9497" max="9497" width="10.25" style="2" bestFit="1" customWidth="1"/>
    <col min="9498" max="9728" width="9" style="2"/>
    <col min="9729" max="9729" width="23.875" style="2" customWidth="1"/>
    <col min="9730" max="9730" width="14.5" style="2" customWidth="1"/>
    <col min="9731" max="9731" width="15.125" style="2" customWidth="1"/>
    <col min="9732" max="9732" width="14.125" style="2" customWidth="1"/>
    <col min="9733" max="9733" width="13.125" style="2" customWidth="1"/>
    <col min="9734" max="9734" width="17.375" style="2" customWidth="1"/>
    <col min="9735" max="9735" width="12.875" style="2" customWidth="1"/>
    <col min="9736" max="9736" width="8" style="2" customWidth="1"/>
    <col min="9737" max="9739" width="14.625" style="2" customWidth="1"/>
    <col min="9740" max="9740" width="16.25" style="2" customWidth="1"/>
    <col min="9741" max="9745" width="14.625" style="2" customWidth="1"/>
    <col min="9746" max="9747" width="11" style="2" customWidth="1"/>
    <col min="9748" max="9748" width="13.375" style="2" customWidth="1"/>
    <col min="9749" max="9749" width="9.5" style="2" customWidth="1"/>
    <col min="9750" max="9750" width="10.375" style="2" bestFit="1" customWidth="1"/>
    <col min="9751" max="9751" width="11.125" style="2" bestFit="1" customWidth="1"/>
    <col min="9752" max="9752" width="8.375" style="2" bestFit="1" customWidth="1"/>
    <col min="9753" max="9753" width="10.25" style="2" bestFit="1" customWidth="1"/>
    <col min="9754" max="9984" width="9" style="2"/>
    <col min="9985" max="9985" width="23.875" style="2" customWidth="1"/>
    <col min="9986" max="9986" width="14.5" style="2" customWidth="1"/>
    <col min="9987" max="9987" width="15.125" style="2" customWidth="1"/>
    <col min="9988" max="9988" width="14.125" style="2" customWidth="1"/>
    <col min="9989" max="9989" width="13.125" style="2" customWidth="1"/>
    <col min="9990" max="9990" width="17.375" style="2" customWidth="1"/>
    <col min="9991" max="9991" width="12.875" style="2" customWidth="1"/>
    <col min="9992" max="9992" width="8" style="2" customWidth="1"/>
    <col min="9993" max="9995" width="14.625" style="2" customWidth="1"/>
    <col min="9996" max="9996" width="16.25" style="2" customWidth="1"/>
    <col min="9997" max="10001" width="14.625" style="2" customWidth="1"/>
    <col min="10002" max="10003" width="11" style="2" customWidth="1"/>
    <col min="10004" max="10004" width="13.375" style="2" customWidth="1"/>
    <col min="10005" max="10005" width="9.5" style="2" customWidth="1"/>
    <col min="10006" max="10006" width="10.375" style="2" bestFit="1" customWidth="1"/>
    <col min="10007" max="10007" width="11.125" style="2" bestFit="1" customWidth="1"/>
    <col min="10008" max="10008" width="8.375" style="2" bestFit="1" customWidth="1"/>
    <col min="10009" max="10009" width="10.25" style="2" bestFit="1" customWidth="1"/>
    <col min="10010" max="10240" width="9" style="2"/>
    <col min="10241" max="10241" width="23.875" style="2" customWidth="1"/>
    <col min="10242" max="10242" width="14.5" style="2" customWidth="1"/>
    <col min="10243" max="10243" width="15.125" style="2" customWidth="1"/>
    <col min="10244" max="10244" width="14.125" style="2" customWidth="1"/>
    <col min="10245" max="10245" width="13.125" style="2" customWidth="1"/>
    <col min="10246" max="10246" width="17.375" style="2" customWidth="1"/>
    <col min="10247" max="10247" width="12.875" style="2" customWidth="1"/>
    <col min="10248" max="10248" width="8" style="2" customWidth="1"/>
    <col min="10249" max="10251" width="14.625" style="2" customWidth="1"/>
    <col min="10252" max="10252" width="16.25" style="2" customWidth="1"/>
    <col min="10253" max="10257" width="14.625" style="2" customWidth="1"/>
    <col min="10258" max="10259" width="11" style="2" customWidth="1"/>
    <col min="10260" max="10260" width="13.375" style="2" customWidth="1"/>
    <col min="10261" max="10261" width="9.5" style="2" customWidth="1"/>
    <col min="10262" max="10262" width="10.375" style="2" bestFit="1" customWidth="1"/>
    <col min="10263" max="10263" width="11.125" style="2" bestFit="1" customWidth="1"/>
    <col min="10264" max="10264" width="8.375" style="2" bestFit="1" customWidth="1"/>
    <col min="10265" max="10265" width="10.25" style="2" bestFit="1" customWidth="1"/>
    <col min="10266" max="10496" width="9" style="2"/>
    <col min="10497" max="10497" width="23.875" style="2" customWidth="1"/>
    <col min="10498" max="10498" width="14.5" style="2" customWidth="1"/>
    <col min="10499" max="10499" width="15.125" style="2" customWidth="1"/>
    <col min="10500" max="10500" width="14.125" style="2" customWidth="1"/>
    <col min="10501" max="10501" width="13.125" style="2" customWidth="1"/>
    <col min="10502" max="10502" width="17.375" style="2" customWidth="1"/>
    <col min="10503" max="10503" width="12.875" style="2" customWidth="1"/>
    <col min="10504" max="10504" width="8" style="2" customWidth="1"/>
    <col min="10505" max="10507" width="14.625" style="2" customWidth="1"/>
    <col min="10508" max="10508" width="16.25" style="2" customWidth="1"/>
    <col min="10509" max="10513" width="14.625" style="2" customWidth="1"/>
    <col min="10514" max="10515" width="11" style="2" customWidth="1"/>
    <col min="10516" max="10516" width="13.375" style="2" customWidth="1"/>
    <col min="10517" max="10517" width="9.5" style="2" customWidth="1"/>
    <col min="10518" max="10518" width="10.375" style="2" bestFit="1" customWidth="1"/>
    <col min="10519" max="10519" width="11.125" style="2" bestFit="1" customWidth="1"/>
    <col min="10520" max="10520" width="8.375" style="2" bestFit="1" customWidth="1"/>
    <col min="10521" max="10521" width="10.25" style="2" bestFit="1" customWidth="1"/>
    <col min="10522" max="10752" width="9" style="2"/>
    <col min="10753" max="10753" width="23.875" style="2" customWidth="1"/>
    <col min="10754" max="10754" width="14.5" style="2" customWidth="1"/>
    <col min="10755" max="10755" width="15.125" style="2" customWidth="1"/>
    <col min="10756" max="10756" width="14.125" style="2" customWidth="1"/>
    <col min="10757" max="10757" width="13.125" style="2" customWidth="1"/>
    <col min="10758" max="10758" width="17.375" style="2" customWidth="1"/>
    <col min="10759" max="10759" width="12.875" style="2" customWidth="1"/>
    <col min="10760" max="10760" width="8" style="2" customWidth="1"/>
    <col min="10761" max="10763" width="14.625" style="2" customWidth="1"/>
    <col min="10764" max="10764" width="16.25" style="2" customWidth="1"/>
    <col min="10765" max="10769" width="14.625" style="2" customWidth="1"/>
    <col min="10770" max="10771" width="11" style="2" customWidth="1"/>
    <col min="10772" max="10772" width="13.375" style="2" customWidth="1"/>
    <col min="10773" max="10773" width="9.5" style="2" customWidth="1"/>
    <col min="10774" max="10774" width="10.375" style="2" bestFit="1" customWidth="1"/>
    <col min="10775" max="10775" width="11.125" style="2" bestFit="1" customWidth="1"/>
    <col min="10776" max="10776" width="8.375" style="2" bestFit="1" customWidth="1"/>
    <col min="10777" max="10777" width="10.25" style="2" bestFit="1" customWidth="1"/>
    <col min="10778" max="11008" width="9" style="2"/>
    <col min="11009" max="11009" width="23.875" style="2" customWidth="1"/>
    <col min="11010" max="11010" width="14.5" style="2" customWidth="1"/>
    <col min="11011" max="11011" width="15.125" style="2" customWidth="1"/>
    <col min="11012" max="11012" width="14.125" style="2" customWidth="1"/>
    <col min="11013" max="11013" width="13.125" style="2" customWidth="1"/>
    <col min="11014" max="11014" width="17.375" style="2" customWidth="1"/>
    <col min="11015" max="11015" width="12.875" style="2" customWidth="1"/>
    <col min="11016" max="11016" width="8" style="2" customWidth="1"/>
    <col min="11017" max="11019" width="14.625" style="2" customWidth="1"/>
    <col min="11020" max="11020" width="16.25" style="2" customWidth="1"/>
    <col min="11021" max="11025" width="14.625" style="2" customWidth="1"/>
    <col min="11026" max="11027" width="11" style="2" customWidth="1"/>
    <col min="11028" max="11028" width="13.375" style="2" customWidth="1"/>
    <col min="11029" max="11029" width="9.5" style="2" customWidth="1"/>
    <col min="11030" max="11030" width="10.375" style="2" bestFit="1" customWidth="1"/>
    <col min="11031" max="11031" width="11.125" style="2" bestFit="1" customWidth="1"/>
    <col min="11032" max="11032" width="8.375" style="2" bestFit="1" customWidth="1"/>
    <col min="11033" max="11033" width="10.25" style="2" bestFit="1" customWidth="1"/>
    <col min="11034" max="11264" width="9" style="2"/>
    <col min="11265" max="11265" width="23.875" style="2" customWidth="1"/>
    <col min="11266" max="11266" width="14.5" style="2" customWidth="1"/>
    <col min="11267" max="11267" width="15.125" style="2" customWidth="1"/>
    <col min="11268" max="11268" width="14.125" style="2" customWidth="1"/>
    <col min="11269" max="11269" width="13.125" style="2" customWidth="1"/>
    <col min="11270" max="11270" width="17.375" style="2" customWidth="1"/>
    <col min="11271" max="11271" width="12.875" style="2" customWidth="1"/>
    <col min="11272" max="11272" width="8" style="2" customWidth="1"/>
    <col min="11273" max="11275" width="14.625" style="2" customWidth="1"/>
    <col min="11276" max="11276" width="16.25" style="2" customWidth="1"/>
    <col min="11277" max="11281" width="14.625" style="2" customWidth="1"/>
    <col min="11282" max="11283" width="11" style="2" customWidth="1"/>
    <col min="11284" max="11284" width="13.375" style="2" customWidth="1"/>
    <col min="11285" max="11285" width="9.5" style="2" customWidth="1"/>
    <col min="11286" max="11286" width="10.375" style="2" bestFit="1" customWidth="1"/>
    <col min="11287" max="11287" width="11.125" style="2" bestFit="1" customWidth="1"/>
    <col min="11288" max="11288" width="8.375" style="2" bestFit="1" customWidth="1"/>
    <col min="11289" max="11289" width="10.25" style="2" bestFit="1" customWidth="1"/>
    <col min="11290" max="11520" width="9" style="2"/>
    <col min="11521" max="11521" width="23.875" style="2" customWidth="1"/>
    <col min="11522" max="11522" width="14.5" style="2" customWidth="1"/>
    <col min="11523" max="11523" width="15.125" style="2" customWidth="1"/>
    <col min="11524" max="11524" width="14.125" style="2" customWidth="1"/>
    <col min="11525" max="11525" width="13.125" style="2" customWidth="1"/>
    <col min="11526" max="11526" width="17.375" style="2" customWidth="1"/>
    <col min="11527" max="11527" width="12.875" style="2" customWidth="1"/>
    <col min="11528" max="11528" width="8" style="2" customWidth="1"/>
    <col min="11529" max="11531" width="14.625" style="2" customWidth="1"/>
    <col min="11532" max="11532" width="16.25" style="2" customWidth="1"/>
    <col min="11533" max="11537" width="14.625" style="2" customWidth="1"/>
    <col min="11538" max="11539" width="11" style="2" customWidth="1"/>
    <col min="11540" max="11540" width="13.375" style="2" customWidth="1"/>
    <col min="11541" max="11541" width="9.5" style="2" customWidth="1"/>
    <col min="11542" max="11542" width="10.375" style="2" bestFit="1" customWidth="1"/>
    <col min="11543" max="11543" width="11.125" style="2" bestFit="1" customWidth="1"/>
    <col min="11544" max="11544" width="8.375" style="2" bestFit="1" customWidth="1"/>
    <col min="11545" max="11545" width="10.25" style="2" bestFit="1" customWidth="1"/>
    <col min="11546" max="11776" width="9" style="2"/>
    <col min="11777" max="11777" width="23.875" style="2" customWidth="1"/>
    <col min="11778" max="11778" width="14.5" style="2" customWidth="1"/>
    <col min="11779" max="11779" width="15.125" style="2" customWidth="1"/>
    <col min="11780" max="11780" width="14.125" style="2" customWidth="1"/>
    <col min="11781" max="11781" width="13.125" style="2" customWidth="1"/>
    <col min="11782" max="11782" width="17.375" style="2" customWidth="1"/>
    <col min="11783" max="11783" width="12.875" style="2" customWidth="1"/>
    <col min="11784" max="11784" width="8" style="2" customWidth="1"/>
    <col min="11785" max="11787" width="14.625" style="2" customWidth="1"/>
    <col min="11788" max="11788" width="16.25" style="2" customWidth="1"/>
    <col min="11789" max="11793" width="14.625" style="2" customWidth="1"/>
    <col min="11794" max="11795" width="11" style="2" customWidth="1"/>
    <col min="11796" max="11796" width="13.375" style="2" customWidth="1"/>
    <col min="11797" max="11797" width="9.5" style="2" customWidth="1"/>
    <col min="11798" max="11798" width="10.375" style="2" bestFit="1" customWidth="1"/>
    <col min="11799" max="11799" width="11.125" style="2" bestFit="1" customWidth="1"/>
    <col min="11800" max="11800" width="8.375" style="2" bestFit="1" customWidth="1"/>
    <col min="11801" max="11801" width="10.25" style="2" bestFit="1" customWidth="1"/>
    <col min="11802" max="12032" width="9" style="2"/>
    <col min="12033" max="12033" width="23.875" style="2" customWidth="1"/>
    <col min="12034" max="12034" width="14.5" style="2" customWidth="1"/>
    <col min="12035" max="12035" width="15.125" style="2" customWidth="1"/>
    <col min="12036" max="12036" width="14.125" style="2" customWidth="1"/>
    <col min="12037" max="12037" width="13.125" style="2" customWidth="1"/>
    <col min="12038" max="12038" width="17.375" style="2" customWidth="1"/>
    <col min="12039" max="12039" width="12.875" style="2" customWidth="1"/>
    <col min="12040" max="12040" width="8" style="2" customWidth="1"/>
    <col min="12041" max="12043" width="14.625" style="2" customWidth="1"/>
    <col min="12044" max="12044" width="16.25" style="2" customWidth="1"/>
    <col min="12045" max="12049" width="14.625" style="2" customWidth="1"/>
    <col min="12050" max="12051" width="11" style="2" customWidth="1"/>
    <col min="12052" max="12052" width="13.375" style="2" customWidth="1"/>
    <col min="12053" max="12053" width="9.5" style="2" customWidth="1"/>
    <col min="12054" max="12054" width="10.375" style="2" bestFit="1" customWidth="1"/>
    <col min="12055" max="12055" width="11.125" style="2" bestFit="1" customWidth="1"/>
    <col min="12056" max="12056" width="8.375" style="2" bestFit="1" customWidth="1"/>
    <col min="12057" max="12057" width="10.25" style="2" bestFit="1" customWidth="1"/>
    <col min="12058" max="12288" width="9" style="2"/>
    <col min="12289" max="12289" width="23.875" style="2" customWidth="1"/>
    <col min="12290" max="12290" width="14.5" style="2" customWidth="1"/>
    <col min="12291" max="12291" width="15.125" style="2" customWidth="1"/>
    <col min="12292" max="12292" width="14.125" style="2" customWidth="1"/>
    <col min="12293" max="12293" width="13.125" style="2" customWidth="1"/>
    <col min="12294" max="12294" width="17.375" style="2" customWidth="1"/>
    <col min="12295" max="12295" width="12.875" style="2" customWidth="1"/>
    <col min="12296" max="12296" width="8" style="2" customWidth="1"/>
    <col min="12297" max="12299" width="14.625" style="2" customWidth="1"/>
    <col min="12300" max="12300" width="16.25" style="2" customWidth="1"/>
    <col min="12301" max="12305" width="14.625" style="2" customWidth="1"/>
    <col min="12306" max="12307" width="11" style="2" customWidth="1"/>
    <col min="12308" max="12308" width="13.375" style="2" customWidth="1"/>
    <col min="12309" max="12309" width="9.5" style="2" customWidth="1"/>
    <col min="12310" max="12310" width="10.375" style="2" bestFit="1" customWidth="1"/>
    <col min="12311" max="12311" width="11.125" style="2" bestFit="1" customWidth="1"/>
    <col min="12312" max="12312" width="8.375" style="2" bestFit="1" customWidth="1"/>
    <col min="12313" max="12313" width="10.25" style="2" bestFit="1" customWidth="1"/>
    <col min="12314" max="12544" width="9" style="2"/>
    <col min="12545" max="12545" width="23.875" style="2" customWidth="1"/>
    <col min="12546" max="12546" width="14.5" style="2" customWidth="1"/>
    <col min="12547" max="12547" width="15.125" style="2" customWidth="1"/>
    <col min="12548" max="12548" width="14.125" style="2" customWidth="1"/>
    <col min="12549" max="12549" width="13.125" style="2" customWidth="1"/>
    <col min="12550" max="12550" width="17.375" style="2" customWidth="1"/>
    <col min="12551" max="12551" width="12.875" style="2" customWidth="1"/>
    <col min="12552" max="12552" width="8" style="2" customWidth="1"/>
    <col min="12553" max="12555" width="14.625" style="2" customWidth="1"/>
    <col min="12556" max="12556" width="16.25" style="2" customWidth="1"/>
    <col min="12557" max="12561" width="14.625" style="2" customWidth="1"/>
    <col min="12562" max="12563" width="11" style="2" customWidth="1"/>
    <col min="12564" max="12564" width="13.375" style="2" customWidth="1"/>
    <col min="12565" max="12565" width="9.5" style="2" customWidth="1"/>
    <col min="12566" max="12566" width="10.375" style="2" bestFit="1" customWidth="1"/>
    <col min="12567" max="12567" width="11.125" style="2" bestFit="1" customWidth="1"/>
    <col min="12568" max="12568" width="8.375" style="2" bestFit="1" customWidth="1"/>
    <col min="12569" max="12569" width="10.25" style="2" bestFit="1" customWidth="1"/>
    <col min="12570" max="12800" width="9" style="2"/>
    <col min="12801" max="12801" width="23.875" style="2" customWidth="1"/>
    <col min="12802" max="12802" width="14.5" style="2" customWidth="1"/>
    <col min="12803" max="12803" width="15.125" style="2" customWidth="1"/>
    <col min="12804" max="12804" width="14.125" style="2" customWidth="1"/>
    <col min="12805" max="12805" width="13.125" style="2" customWidth="1"/>
    <col min="12806" max="12806" width="17.375" style="2" customWidth="1"/>
    <col min="12807" max="12807" width="12.875" style="2" customWidth="1"/>
    <col min="12808" max="12808" width="8" style="2" customWidth="1"/>
    <col min="12809" max="12811" width="14.625" style="2" customWidth="1"/>
    <col min="12812" max="12812" width="16.25" style="2" customWidth="1"/>
    <col min="12813" max="12817" width="14.625" style="2" customWidth="1"/>
    <col min="12818" max="12819" width="11" style="2" customWidth="1"/>
    <col min="12820" max="12820" width="13.375" style="2" customWidth="1"/>
    <col min="12821" max="12821" width="9.5" style="2" customWidth="1"/>
    <col min="12822" max="12822" width="10.375" style="2" bestFit="1" customWidth="1"/>
    <col min="12823" max="12823" width="11.125" style="2" bestFit="1" customWidth="1"/>
    <col min="12824" max="12824" width="8.375" style="2" bestFit="1" customWidth="1"/>
    <col min="12825" max="12825" width="10.25" style="2" bestFit="1" customWidth="1"/>
    <col min="12826" max="13056" width="9" style="2"/>
    <col min="13057" max="13057" width="23.875" style="2" customWidth="1"/>
    <col min="13058" max="13058" width="14.5" style="2" customWidth="1"/>
    <col min="13059" max="13059" width="15.125" style="2" customWidth="1"/>
    <col min="13060" max="13060" width="14.125" style="2" customWidth="1"/>
    <col min="13061" max="13061" width="13.125" style="2" customWidth="1"/>
    <col min="13062" max="13062" width="17.375" style="2" customWidth="1"/>
    <col min="13063" max="13063" width="12.875" style="2" customWidth="1"/>
    <col min="13064" max="13064" width="8" style="2" customWidth="1"/>
    <col min="13065" max="13067" width="14.625" style="2" customWidth="1"/>
    <col min="13068" max="13068" width="16.25" style="2" customWidth="1"/>
    <col min="13069" max="13073" width="14.625" style="2" customWidth="1"/>
    <col min="13074" max="13075" width="11" style="2" customWidth="1"/>
    <col min="13076" max="13076" width="13.375" style="2" customWidth="1"/>
    <col min="13077" max="13077" width="9.5" style="2" customWidth="1"/>
    <col min="13078" max="13078" width="10.375" style="2" bestFit="1" customWidth="1"/>
    <col min="13079" max="13079" width="11.125" style="2" bestFit="1" customWidth="1"/>
    <col min="13080" max="13080" width="8.375" style="2" bestFit="1" customWidth="1"/>
    <col min="13081" max="13081" width="10.25" style="2" bestFit="1" customWidth="1"/>
    <col min="13082" max="13312" width="9" style="2"/>
    <col min="13313" max="13313" width="23.875" style="2" customWidth="1"/>
    <col min="13314" max="13314" width="14.5" style="2" customWidth="1"/>
    <col min="13315" max="13315" width="15.125" style="2" customWidth="1"/>
    <col min="13316" max="13316" width="14.125" style="2" customWidth="1"/>
    <col min="13317" max="13317" width="13.125" style="2" customWidth="1"/>
    <col min="13318" max="13318" width="17.375" style="2" customWidth="1"/>
    <col min="13319" max="13319" width="12.875" style="2" customWidth="1"/>
    <col min="13320" max="13320" width="8" style="2" customWidth="1"/>
    <col min="13321" max="13323" width="14.625" style="2" customWidth="1"/>
    <col min="13324" max="13324" width="16.25" style="2" customWidth="1"/>
    <col min="13325" max="13329" width="14.625" style="2" customWidth="1"/>
    <col min="13330" max="13331" width="11" style="2" customWidth="1"/>
    <col min="13332" max="13332" width="13.375" style="2" customWidth="1"/>
    <col min="13333" max="13333" width="9.5" style="2" customWidth="1"/>
    <col min="13334" max="13334" width="10.375" style="2" bestFit="1" customWidth="1"/>
    <col min="13335" max="13335" width="11.125" style="2" bestFit="1" customWidth="1"/>
    <col min="13336" max="13336" width="8.375" style="2" bestFit="1" customWidth="1"/>
    <col min="13337" max="13337" width="10.25" style="2" bestFit="1" customWidth="1"/>
    <col min="13338" max="13568" width="9" style="2"/>
    <col min="13569" max="13569" width="23.875" style="2" customWidth="1"/>
    <col min="13570" max="13570" width="14.5" style="2" customWidth="1"/>
    <col min="13571" max="13571" width="15.125" style="2" customWidth="1"/>
    <col min="13572" max="13572" width="14.125" style="2" customWidth="1"/>
    <col min="13573" max="13573" width="13.125" style="2" customWidth="1"/>
    <col min="13574" max="13574" width="17.375" style="2" customWidth="1"/>
    <col min="13575" max="13575" width="12.875" style="2" customWidth="1"/>
    <col min="13576" max="13576" width="8" style="2" customWidth="1"/>
    <col min="13577" max="13579" width="14.625" style="2" customWidth="1"/>
    <col min="13580" max="13580" width="16.25" style="2" customWidth="1"/>
    <col min="13581" max="13585" width="14.625" style="2" customWidth="1"/>
    <col min="13586" max="13587" width="11" style="2" customWidth="1"/>
    <col min="13588" max="13588" width="13.375" style="2" customWidth="1"/>
    <col min="13589" max="13589" width="9.5" style="2" customWidth="1"/>
    <col min="13590" max="13590" width="10.375" style="2" bestFit="1" customWidth="1"/>
    <col min="13591" max="13591" width="11.125" style="2" bestFit="1" customWidth="1"/>
    <col min="13592" max="13592" width="8.375" style="2" bestFit="1" customWidth="1"/>
    <col min="13593" max="13593" width="10.25" style="2" bestFit="1" customWidth="1"/>
    <col min="13594" max="13824" width="9" style="2"/>
    <col min="13825" max="13825" width="23.875" style="2" customWidth="1"/>
    <col min="13826" max="13826" width="14.5" style="2" customWidth="1"/>
    <col min="13827" max="13827" width="15.125" style="2" customWidth="1"/>
    <col min="13828" max="13828" width="14.125" style="2" customWidth="1"/>
    <col min="13829" max="13829" width="13.125" style="2" customWidth="1"/>
    <col min="13830" max="13830" width="17.375" style="2" customWidth="1"/>
    <col min="13831" max="13831" width="12.875" style="2" customWidth="1"/>
    <col min="13832" max="13832" width="8" style="2" customWidth="1"/>
    <col min="13833" max="13835" width="14.625" style="2" customWidth="1"/>
    <col min="13836" max="13836" width="16.25" style="2" customWidth="1"/>
    <col min="13837" max="13841" width="14.625" style="2" customWidth="1"/>
    <col min="13842" max="13843" width="11" style="2" customWidth="1"/>
    <col min="13844" max="13844" width="13.375" style="2" customWidth="1"/>
    <col min="13845" max="13845" width="9.5" style="2" customWidth="1"/>
    <col min="13846" max="13846" width="10.375" style="2" bestFit="1" customWidth="1"/>
    <col min="13847" max="13847" width="11.125" style="2" bestFit="1" customWidth="1"/>
    <col min="13848" max="13848" width="8.375" style="2" bestFit="1" customWidth="1"/>
    <col min="13849" max="13849" width="10.25" style="2" bestFit="1" customWidth="1"/>
    <col min="13850" max="14080" width="9" style="2"/>
    <col min="14081" max="14081" width="23.875" style="2" customWidth="1"/>
    <col min="14082" max="14082" width="14.5" style="2" customWidth="1"/>
    <col min="14083" max="14083" width="15.125" style="2" customWidth="1"/>
    <col min="14084" max="14084" width="14.125" style="2" customWidth="1"/>
    <col min="14085" max="14085" width="13.125" style="2" customWidth="1"/>
    <col min="14086" max="14086" width="17.375" style="2" customWidth="1"/>
    <col min="14087" max="14087" width="12.875" style="2" customWidth="1"/>
    <col min="14088" max="14088" width="8" style="2" customWidth="1"/>
    <col min="14089" max="14091" width="14.625" style="2" customWidth="1"/>
    <col min="14092" max="14092" width="16.25" style="2" customWidth="1"/>
    <col min="14093" max="14097" width="14.625" style="2" customWidth="1"/>
    <col min="14098" max="14099" width="11" style="2" customWidth="1"/>
    <col min="14100" max="14100" width="13.375" style="2" customWidth="1"/>
    <col min="14101" max="14101" width="9.5" style="2" customWidth="1"/>
    <col min="14102" max="14102" width="10.375" style="2" bestFit="1" customWidth="1"/>
    <col min="14103" max="14103" width="11.125" style="2" bestFit="1" customWidth="1"/>
    <col min="14104" max="14104" width="8.375" style="2" bestFit="1" customWidth="1"/>
    <col min="14105" max="14105" width="10.25" style="2" bestFit="1" customWidth="1"/>
    <col min="14106" max="14336" width="9" style="2"/>
    <col min="14337" max="14337" width="23.875" style="2" customWidth="1"/>
    <col min="14338" max="14338" width="14.5" style="2" customWidth="1"/>
    <col min="14339" max="14339" width="15.125" style="2" customWidth="1"/>
    <col min="14340" max="14340" width="14.125" style="2" customWidth="1"/>
    <col min="14341" max="14341" width="13.125" style="2" customWidth="1"/>
    <col min="14342" max="14342" width="17.375" style="2" customWidth="1"/>
    <col min="14343" max="14343" width="12.875" style="2" customWidth="1"/>
    <col min="14344" max="14344" width="8" style="2" customWidth="1"/>
    <col min="14345" max="14347" width="14.625" style="2" customWidth="1"/>
    <col min="14348" max="14348" width="16.25" style="2" customWidth="1"/>
    <col min="14349" max="14353" width="14.625" style="2" customWidth="1"/>
    <col min="14354" max="14355" width="11" style="2" customWidth="1"/>
    <col min="14356" max="14356" width="13.375" style="2" customWidth="1"/>
    <col min="14357" max="14357" width="9.5" style="2" customWidth="1"/>
    <col min="14358" max="14358" width="10.375" style="2" bestFit="1" customWidth="1"/>
    <col min="14359" max="14359" width="11.125" style="2" bestFit="1" customWidth="1"/>
    <col min="14360" max="14360" width="8.375" style="2" bestFit="1" customWidth="1"/>
    <col min="14361" max="14361" width="10.25" style="2" bestFit="1" customWidth="1"/>
    <col min="14362" max="14592" width="9" style="2"/>
    <col min="14593" max="14593" width="23.875" style="2" customWidth="1"/>
    <col min="14594" max="14594" width="14.5" style="2" customWidth="1"/>
    <col min="14595" max="14595" width="15.125" style="2" customWidth="1"/>
    <col min="14596" max="14596" width="14.125" style="2" customWidth="1"/>
    <col min="14597" max="14597" width="13.125" style="2" customWidth="1"/>
    <col min="14598" max="14598" width="17.375" style="2" customWidth="1"/>
    <col min="14599" max="14599" width="12.875" style="2" customWidth="1"/>
    <col min="14600" max="14600" width="8" style="2" customWidth="1"/>
    <col min="14601" max="14603" width="14.625" style="2" customWidth="1"/>
    <col min="14604" max="14604" width="16.25" style="2" customWidth="1"/>
    <col min="14605" max="14609" width="14.625" style="2" customWidth="1"/>
    <col min="14610" max="14611" width="11" style="2" customWidth="1"/>
    <col min="14612" max="14612" width="13.375" style="2" customWidth="1"/>
    <col min="14613" max="14613" width="9.5" style="2" customWidth="1"/>
    <col min="14614" max="14614" width="10.375" style="2" bestFit="1" customWidth="1"/>
    <col min="14615" max="14615" width="11.125" style="2" bestFit="1" customWidth="1"/>
    <col min="14616" max="14616" width="8.375" style="2" bestFit="1" customWidth="1"/>
    <col min="14617" max="14617" width="10.25" style="2" bestFit="1" customWidth="1"/>
    <col min="14618" max="14848" width="9" style="2"/>
    <col min="14849" max="14849" width="23.875" style="2" customWidth="1"/>
    <col min="14850" max="14850" width="14.5" style="2" customWidth="1"/>
    <col min="14851" max="14851" width="15.125" style="2" customWidth="1"/>
    <col min="14852" max="14852" width="14.125" style="2" customWidth="1"/>
    <col min="14853" max="14853" width="13.125" style="2" customWidth="1"/>
    <col min="14854" max="14854" width="17.375" style="2" customWidth="1"/>
    <col min="14855" max="14855" width="12.875" style="2" customWidth="1"/>
    <col min="14856" max="14856" width="8" style="2" customWidth="1"/>
    <col min="14857" max="14859" width="14.625" style="2" customWidth="1"/>
    <col min="14860" max="14860" width="16.25" style="2" customWidth="1"/>
    <col min="14861" max="14865" width="14.625" style="2" customWidth="1"/>
    <col min="14866" max="14867" width="11" style="2" customWidth="1"/>
    <col min="14868" max="14868" width="13.375" style="2" customWidth="1"/>
    <col min="14869" max="14869" width="9.5" style="2" customWidth="1"/>
    <col min="14870" max="14870" width="10.375" style="2" bestFit="1" customWidth="1"/>
    <col min="14871" max="14871" width="11.125" style="2" bestFit="1" customWidth="1"/>
    <col min="14872" max="14872" width="8.375" style="2" bestFit="1" customWidth="1"/>
    <col min="14873" max="14873" width="10.25" style="2" bestFit="1" customWidth="1"/>
    <col min="14874" max="15104" width="9" style="2"/>
    <col min="15105" max="15105" width="23.875" style="2" customWidth="1"/>
    <col min="15106" max="15106" width="14.5" style="2" customWidth="1"/>
    <col min="15107" max="15107" width="15.125" style="2" customWidth="1"/>
    <col min="15108" max="15108" width="14.125" style="2" customWidth="1"/>
    <col min="15109" max="15109" width="13.125" style="2" customWidth="1"/>
    <col min="15110" max="15110" width="17.375" style="2" customWidth="1"/>
    <col min="15111" max="15111" width="12.875" style="2" customWidth="1"/>
    <col min="15112" max="15112" width="8" style="2" customWidth="1"/>
    <col min="15113" max="15115" width="14.625" style="2" customWidth="1"/>
    <col min="15116" max="15116" width="16.25" style="2" customWidth="1"/>
    <col min="15117" max="15121" width="14.625" style="2" customWidth="1"/>
    <col min="15122" max="15123" width="11" style="2" customWidth="1"/>
    <col min="15124" max="15124" width="13.375" style="2" customWidth="1"/>
    <col min="15125" max="15125" width="9.5" style="2" customWidth="1"/>
    <col min="15126" max="15126" width="10.375" style="2" bestFit="1" customWidth="1"/>
    <col min="15127" max="15127" width="11.125" style="2" bestFit="1" customWidth="1"/>
    <col min="15128" max="15128" width="8.375" style="2" bestFit="1" customWidth="1"/>
    <col min="15129" max="15129" width="10.25" style="2" bestFit="1" customWidth="1"/>
    <col min="15130" max="15360" width="9" style="2"/>
    <col min="15361" max="15361" width="23.875" style="2" customWidth="1"/>
    <col min="15362" max="15362" width="14.5" style="2" customWidth="1"/>
    <col min="15363" max="15363" width="15.125" style="2" customWidth="1"/>
    <col min="15364" max="15364" width="14.125" style="2" customWidth="1"/>
    <col min="15365" max="15365" width="13.125" style="2" customWidth="1"/>
    <col min="15366" max="15366" width="17.375" style="2" customWidth="1"/>
    <col min="15367" max="15367" width="12.875" style="2" customWidth="1"/>
    <col min="15368" max="15368" width="8" style="2" customWidth="1"/>
    <col min="15369" max="15371" width="14.625" style="2" customWidth="1"/>
    <col min="15372" max="15372" width="16.25" style="2" customWidth="1"/>
    <col min="15373" max="15377" width="14.625" style="2" customWidth="1"/>
    <col min="15378" max="15379" width="11" style="2" customWidth="1"/>
    <col min="15380" max="15380" width="13.375" style="2" customWidth="1"/>
    <col min="15381" max="15381" width="9.5" style="2" customWidth="1"/>
    <col min="15382" max="15382" width="10.375" style="2" bestFit="1" customWidth="1"/>
    <col min="15383" max="15383" width="11.125" style="2" bestFit="1" customWidth="1"/>
    <col min="15384" max="15384" width="8.375" style="2" bestFit="1" customWidth="1"/>
    <col min="15385" max="15385" width="10.25" style="2" bestFit="1" customWidth="1"/>
    <col min="15386" max="15616" width="9" style="2"/>
    <col min="15617" max="15617" width="23.875" style="2" customWidth="1"/>
    <col min="15618" max="15618" width="14.5" style="2" customWidth="1"/>
    <col min="15619" max="15619" width="15.125" style="2" customWidth="1"/>
    <col min="15620" max="15620" width="14.125" style="2" customWidth="1"/>
    <col min="15621" max="15621" width="13.125" style="2" customWidth="1"/>
    <col min="15622" max="15622" width="17.375" style="2" customWidth="1"/>
    <col min="15623" max="15623" width="12.875" style="2" customWidth="1"/>
    <col min="15624" max="15624" width="8" style="2" customWidth="1"/>
    <col min="15625" max="15627" width="14.625" style="2" customWidth="1"/>
    <col min="15628" max="15628" width="16.25" style="2" customWidth="1"/>
    <col min="15629" max="15633" width="14.625" style="2" customWidth="1"/>
    <col min="15634" max="15635" width="11" style="2" customWidth="1"/>
    <col min="15636" max="15636" width="13.375" style="2" customWidth="1"/>
    <col min="15637" max="15637" width="9.5" style="2" customWidth="1"/>
    <col min="15638" max="15638" width="10.375" style="2" bestFit="1" customWidth="1"/>
    <col min="15639" max="15639" width="11.125" style="2" bestFit="1" customWidth="1"/>
    <col min="15640" max="15640" width="8.375" style="2" bestFit="1" customWidth="1"/>
    <col min="15641" max="15641" width="10.25" style="2" bestFit="1" customWidth="1"/>
    <col min="15642" max="15872" width="9" style="2"/>
    <col min="15873" max="15873" width="23.875" style="2" customWidth="1"/>
    <col min="15874" max="15874" width="14.5" style="2" customWidth="1"/>
    <col min="15875" max="15875" width="15.125" style="2" customWidth="1"/>
    <col min="15876" max="15876" width="14.125" style="2" customWidth="1"/>
    <col min="15877" max="15877" width="13.125" style="2" customWidth="1"/>
    <col min="15878" max="15878" width="17.375" style="2" customWidth="1"/>
    <col min="15879" max="15879" width="12.875" style="2" customWidth="1"/>
    <col min="15880" max="15880" width="8" style="2" customWidth="1"/>
    <col min="15881" max="15883" width="14.625" style="2" customWidth="1"/>
    <col min="15884" max="15884" width="16.25" style="2" customWidth="1"/>
    <col min="15885" max="15889" width="14.625" style="2" customWidth="1"/>
    <col min="15890" max="15891" width="11" style="2" customWidth="1"/>
    <col min="15892" max="15892" width="13.375" style="2" customWidth="1"/>
    <col min="15893" max="15893" width="9.5" style="2" customWidth="1"/>
    <col min="15894" max="15894" width="10.375" style="2" bestFit="1" customWidth="1"/>
    <col min="15895" max="15895" width="11.125" style="2" bestFit="1" customWidth="1"/>
    <col min="15896" max="15896" width="8.375" style="2" bestFit="1" customWidth="1"/>
    <col min="15897" max="15897" width="10.25" style="2" bestFit="1" customWidth="1"/>
    <col min="15898" max="16128" width="9" style="2"/>
    <col min="16129" max="16129" width="23.875" style="2" customWidth="1"/>
    <col min="16130" max="16130" width="14.5" style="2" customWidth="1"/>
    <col min="16131" max="16131" width="15.125" style="2" customWidth="1"/>
    <col min="16132" max="16132" width="14.125" style="2" customWidth="1"/>
    <col min="16133" max="16133" width="13.125" style="2" customWidth="1"/>
    <col min="16134" max="16134" width="17.375" style="2" customWidth="1"/>
    <col min="16135" max="16135" width="12.875" style="2" customWidth="1"/>
    <col min="16136" max="16136" width="8" style="2" customWidth="1"/>
    <col min="16137" max="16139" width="14.625" style="2" customWidth="1"/>
    <col min="16140" max="16140" width="16.25" style="2" customWidth="1"/>
    <col min="16141" max="16145" width="14.625" style="2" customWidth="1"/>
    <col min="16146" max="16147" width="11" style="2" customWidth="1"/>
    <col min="16148" max="16148" width="13.375" style="2" customWidth="1"/>
    <col min="16149" max="16149" width="9.5" style="2" customWidth="1"/>
    <col min="16150" max="16150" width="10.375" style="2" bestFit="1" customWidth="1"/>
    <col min="16151" max="16151" width="11.125" style="2" bestFit="1" customWidth="1"/>
    <col min="16152" max="16152" width="8.375" style="2" bestFit="1" customWidth="1"/>
    <col min="16153" max="16153" width="10.25" style="2" bestFit="1" customWidth="1"/>
    <col min="16154" max="16384" width="9" style="2"/>
  </cols>
  <sheetData>
    <row r="1" spans="1:21" ht="26.25" x14ac:dyDescent="0.4">
      <c r="A1" s="300"/>
      <c r="B1" s="300"/>
      <c r="C1" s="300"/>
      <c r="D1" s="300"/>
      <c r="E1" s="300"/>
      <c r="F1" s="300"/>
      <c r="G1" s="300"/>
      <c r="H1" s="300"/>
      <c r="I1" s="300"/>
      <c r="J1" s="300"/>
      <c r="K1" s="300"/>
      <c r="L1" s="300"/>
      <c r="M1" s="300"/>
      <c r="N1" s="300"/>
      <c r="O1" s="300"/>
      <c r="P1" s="300"/>
      <c r="Q1" s="300"/>
      <c r="R1" s="300"/>
      <c r="S1" s="300"/>
    </row>
    <row r="2" spans="1:21" ht="26.25" x14ac:dyDescent="0.4">
      <c r="A2" s="3" t="s">
        <v>0</v>
      </c>
    </row>
    <row r="4" spans="1:21" s="11" customFormat="1" ht="30.75" x14ac:dyDescent="0.45">
      <c r="A4" s="7"/>
      <c r="B4" s="8"/>
      <c r="C4" s="8"/>
      <c r="D4" s="8"/>
      <c r="E4" s="8"/>
      <c r="F4" s="8"/>
      <c r="G4" s="8"/>
      <c r="H4" s="9"/>
      <c r="I4" s="10"/>
      <c r="J4" s="10"/>
      <c r="K4" s="10"/>
      <c r="L4" s="10"/>
      <c r="M4" s="10"/>
      <c r="N4" s="10"/>
      <c r="O4" s="10"/>
      <c r="P4" s="10"/>
      <c r="Q4" s="10"/>
      <c r="R4" s="301" t="s">
        <v>1</v>
      </c>
      <c r="S4" s="301"/>
      <c r="T4" s="301"/>
    </row>
    <row r="5" spans="1:21" s="11" customFormat="1" ht="27" customHeight="1" x14ac:dyDescent="0.45">
      <c r="A5" s="7"/>
      <c r="B5" s="302" t="s">
        <v>2</v>
      </c>
      <c r="C5" s="303"/>
      <c r="D5" s="303"/>
      <c r="E5" s="303"/>
      <c r="F5" s="303"/>
      <c r="G5" s="303"/>
      <c r="H5" s="303"/>
      <c r="I5" s="304"/>
      <c r="J5" s="302" t="s">
        <v>3</v>
      </c>
      <c r="K5" s="303"/>
      <c r="L5" s="303"/>
      <c r="M5" s="303"/>
      <c r="N5" s="303"/>
      <c r="O5" s="303"/>
      <c r="P5" s="303"/>
      <c r="Q5" s="304"/>
      <c r="R5" s="305" t="s">
        <v>4</v>
      </c>
      <c r="S5" s="306"/>
      <c r="T5" s="307"/>
    </row>
    <row r="6" spans="1:21" s="19" customFormat="1" ht="31.5" x14ac:dyDescent="0.2">
      <c r="A6" s="12" t="s">
        <v>5</v>
      </c>
      <c r="B6" s="12" t="s">
        <v>6</v>
      </c>
      <c r="C6" s="13" t="s">
        <v>7</v>
      </c>
      <c r="D6" s="13" t="s">
        <v>8</v>
      </c>
      <c r="E6" s="13" t="s">
        <v>9</v>
      </c>
      <c r="F6" s="13" t="s">
        <v>10</v>
      </c>
      <c r="G6" s="14" t="s">
        <v>11</v>
      </c>
      <c r="H6" s="12" t="s">
        <v>12</v>
      </c>
      <c r="I6" s="15" t="s">
        <v>13</v>
      </c>
      <c r="J6" s="12" t="s">
        <v>6</v>
      </c>
      <c r="K6" s="13" t="s">
        <v>7</v>
      </c>
      <c r="L6" s="13" t="s">
        <v>8</v>
      </c>
      <c r="M6" s="13" t="s">
        <v>9</v>
      </c>
      <c r="N6" s="13" t="s">
        <v>10</v>
      </c>
      <c r="O6" s="14" t="s">
        <v>11</v>
      </c>
      <c r="P6" s="12" t="s">
        <v>12</v>
      </c>
      <c r="Q6" s="15" t="s">
        <v>13</v>
      </c>
      <c r="R6" s="16" t="s">
        <v>14</v>
      </c>
      <c r="S6" s="16" t="s">
        <v>15</v>
      </c>
      <c r="T6" s="17" t="s">
        <v>16</v>
      </c>
      <c r="U6" s="18" t="s">
        <v>17</v>
      </c>
    </row>
    <row r="7" spans="1:21" s="29" customFormat="1" ht="47.25" x14ac:dyDescent="0.2">
      <c r="A7" s="20" t="s">
        <v>18</v>
      </c>
      <c r="B7" s="21">
        <v>102785620.36</v>
      </c>
      <c r="C7" s="21">
        <v>57364993.420000002</v>
      </c>
      <c r="D7" s="21">
        <v>5047265.99</v>
      </c>
      <c r="E7" s="21">
        <v>6480235.9900000002</v>
      </c>
      <c r="F7" s="22">
        <f t="shared" ref="F7:F12" si="0">SUM(B7:E7)</f>
        <v>171678115.76000002</v>
      </c>
      <c r="G7" s="23">
        <v>13</v>
      </c>
      <c r="H7" s="24" t="s">
        <v>19</v>
      </c>
      <c r="I7" s="25">
        <f>+F7/G7</f>
        <v>13206008.904615385</v>
      </c>
      <c r="J7" s="25">
        <v>100569620.17879897</v>
      </c>
      <c r="K7" s="25">
        <v>65505929.366899997</v>
      </c>
      <c r="L7" s="25">
        <v>6661941.8405020004</v>
      </c>
      <c r="M7" s="25">
        <v>6049668.7418419998</v>
      </c>
      <c r="N7" s="25">
        <f t="shared" ref="N7:N12" si="1">SUM(J7:M7)</f>
        <v>178787160.12804297</v>
      </c>
      <c r="O7" s="25">
        <v>22</v>
      </c>
      <c r="P7" s="24" t="s">
        <v>19</v>
      </c>
      <c r="Q7" s="25">
        <f>N7/O7</f>
        <v>8126689.0967292255</v>
      </c>
      <c r="R7" s="26">
        <f t="shared" ref="R7:R70" si="2">(N7-F7)/F7*100</f>
        <v>4.1409147208844841</v>
      </c>
      <c r="S7" s="27" t="e">
        <f t="shared" ref="S7:T70" si="3">(P7-H7)/H7*100</f>
        <v>#VALUE!</v>
      </c>
      <c r="T7" s="28">
        <f t="shared" si="3"/>
        <v>-38.462186755840989</v>
      </c>
      <c r="U7" s="29">
        <v>101</v>
      </c>
    </row>
    <row r="8" spans="1:21" s="29" customFormat="1" ht="47.25" x14ac:dyDescent="0.2">
      <c r="A8" s="20" t="s">
        <v>20</v>
      </c>
      <c r="B8" s="21">
        <v>42035509.689999998</v>
      </c>
      <c r="C8" s="21">
        <v>1134859.83</v>
      </c>
      <c r="D8" s="21">
        <v>496648.76</v>
      </c>
      <c r="E8" s="21">
        <v>338541.39</v>
      </c>
      <c r="F8" s="22">
        <f t="shared" si="0"/>
        <v>44005559.669999994</v>
      </c>
      <c r="G8" s="23">
        <v>6</v>
      </c>
      <c r="H8" s="24" t="s">
        <v>19</v>
      </c>
      <c r="I8" s="25">
        <f t="shared" ref="I8:I84" si="4">+F8/G8</f>
        <v>7334259.9449999994</v>
      </c>
      <c r="J8" s="25">
        <v>36045593.968977928</v>
      </c>
      <c r="K8" s="25">
        <v>16615351.274587154</v>
      </c>
      <c r="L8" s="25">
        <v>653175.02218199987</v>
      </c>
      <c r="M8" s="25">
        <v>2211523.52320896</v>
      </c>
      <c r="N8" s="25">
        <f t="shared" si="1"/>
        <v>55525643.788956046</v>
      </c>
      <c r="O8" s="25">
        <v>8</v>
      </c>
      <c r="P8" s="24" t="s">
        <v>19</v>
      </c>
      <c r="Q8" s="25">
        <f t="shared" ref="Q8:Q25" si="5">N8/O8</f>
        <v>6940705.4736195058</v>
      </c>
      <c r="R8" s="26">
        <f t="shared" si="2"/>
        <v>26.178701521684459</v>
      </c>
      <c r="S8" s="27" t="e">
        <f t="shared" si="3"/>
        <v>#VALUE!</v>
      </c>
      <c r="T8" s="28">
        <f t="shared" si="3"/>
        <v>-5.3659738587366581</v>
      </c>
      <c r="U8" s="29">
        <v>102</v>
      </c>
    </row>
    <row r="9" spans="1:21" s="39" customFormat="1" x14ac:dyDescent="0.2">
      <c r="A9" s="30" t="s">
        <v>21</v>
      </c>
      <c r="B9" s="31">
        <v>13049643.439999999</v>
      </c>
      <c r="C9" s="31">
        <v>1249897.73</v>
      </c>
      <c r="D9" s="31">
        <v>808314.96</v>
      </c>
      <c r="E9" s="31">
        <v>852826.44</v>
      </c>
      <c r="F9" s="32">
        <f t="shared" si="0"/>
        <v>15960682.569999998</v>
      </c>
      <c r="G9" s="33">
        <v>1</v>
      </c>
      <c r="H9" s="34" t="s">
        <v>19</v>
      </c>
      <c r="I9" s="35">
        <f t="shared" si="4"/>
        <v>15960682.569999998</v>
      </c>
      <c r="J9" s="35">
        <v>10740869.047515998</v>
      </c>
      <c r="K9" s="35">
        <v>1498579.617655</v>
      </c>
      <c r="L9" s="35">
        <v>732908.24750400009</v>
      </c>
      <c r="M9" s="35">
        <v>850890.62747499999</v>
      </c>
      <c r="N9" s="35">
        <f t="shared" si="1"/>
        <v>13823247.540149998</v>
      </c>
      <c r="O9" s="35">
        <v>3</v>
      </c>
      <c r="P9" s="34" t="s">
        <v>19</v>
      </c>
      <c r="Q9" s="35">
        <f t="shared" si="5"/>
        <v>4607749.1800499996</v>
      </c>
      <c r="R9" s="36">
        <f t="shared" si="2"/>
        <v>-13.391877324015979</v>
      </c>
      <c r="S9" s="37" t="e">
        <f t="shared" si="3"/>
        <v>#VALUE!</v>
      </c>
      <c r="T9" s="38">
        <f t="shared" si="3"/>
        <v>-71.130625774671998</v>
      </c>
      <c r="U9" s="39">
        <v>103</v>
      </c>
    </row>
    <row r="10" spans="1:21" s="40" customFormat="1" ht="78.75" x14ac:dyDescent="0.2">
      <c r="A10" s="20" t="s">
        <v>22</v>
      </c>
      <c r="B10" s="21">
        <v>13697412.050000001</v>
      </c>
      <c r="C10" s="21">
        <v>6062413.7000000002</v>
      </c>
      <c r="D10" s="21">
        <v>892684.27</v>
      </c>
      <c r="E10" s="21">
        <v>843751.59</v>
      </c>
      <c r="F10" s="22">
        <f t="shared" si="0"/>
        <v>21496261.609999999</v>
      </c>
      <c r="G10" s="23">
        <v>6</v>
      </c>
      <c r="H10" s="24" t="s">
        <v>19</v>
      </c>
      <c r="I10" s="25">
        <f t="shared" si="4"/>
        <v>3582710.2683333331</v>
      </c>
      <c r="J10" s="25">
        <v>13158543.839156</v>
      </c>
      <c r="K10" s="25">
        <v>3164899.2389550004</v>
      </c>
      <c r="L10" s="25">
        <v>907098.42101299984</v>
      </c>
      <c r="M10" s="25">
        <v>821496.12787299987</v>
      </c>
      <c r="N10" s="25">
        <f t="shared" si="1"/>
        <v>18052037.626997001</v>
      </c>
      <c r="O10" s="25">
        <v>6</v>
      </c>
      <c r="P10" s="24" t="s">
        <v>19</v>
      </c>
      <c r="Q10" s="25">
        <f t="shared" si="5"/>
        <v>3008672.9378328337</v>
      </c>
      <c r="R10" s="26">
        <f t="shared" si="2"/>
        <v>-16.022432390759306</v>
      </c>
      <c r="S10" s="27" t="e">
        <f t="shared" si="3"/>
        <v>#VALUE!</v>
      </c>
      <c r="T10" s="28">
        <f t="shared" si="3"/>
        <v>-16.022432390759299</v>
      </c>
      <c r="U10" s="40">
        <v>104</v>
      </c>
    </row>
    <row r="11" spans="1:21" s="29" customFormat="1" ht="63" x14ac:dyDescent="0.2">
      <c r="A11" s="20" t="s">
        <v>23</v>
      </c>
      <c r="B11" s="21">
        <v>57759425.899999999</v>
      </c>
      <c r="C11" s="21">
        <v>9082085.3300000001</v>
      </c>
      <c r="D11" s="21">
        <v>3338650.4299999997</v>
      </c>
      <c r="E11" s="21">
        <v>2033773.92</v>
      </c>
      <c r="F11" s="22">
        <f t="shared" si="0"/>
        <v>72213935.579999998</v>
      </c>
      <c r="G11" s="23">
        <v>3</v>
      </c>
      <c r="H11" s="41" t="s">
        <v>19</v>
      </c>
      <c r="I11" s="25">
        <f t="shared" si="4"/>
        <v>24071311.859999999</v>
      </c>
      <c r="J11" s="25">
        <v>27841011.116859</v>
      </c>
      <c r="K11" s="25">
        <v>6835007.6450220011</v>
      </c>
      <c r="L11" s="25">
        <v>1853929.7451639997</v>
      </c>
      <c r="M11" s="25">
        <v>1978374.7619800002</v>
      </c>
      <c r="N11" s="25">
        <f t="shared" si="1"/>
        <v>38508323.269024998</v>
      </c>
      <c r="O11" s="25">
        <v>2</v>
      </c>
      <c r="P11" s="41" t="s">
        <v>19</v>
      </c>
      <c r="Q11" s="25">
        <f t="shared" si="5"/>
        <v>19254161.634512499</v>
      </c>
      <c r="R11" s="26">
        <f t="shared" si="2"/>
        <v>-46.674664717082578</v>
      </c>
      <c r="S11" s="27" t="e">
        <f t="shared" si="3"/>
        <v>#VALUE!</v>
      </c>
      <c r="T11" s="28">
        <f t="shared" si="3"/>
        <v>-20.011997075623864</v>
      </c>
      <c r="U11" s="29">
        <v>105</v>
      </c>
    </row>
    <row r="12" spans="1:21" s="51" customFormat="1" ht="47.25" x14ac:dyDescent="0.2">
      <c r="A12" s="42" t="s">
        <v>24</v>
      </c>
      <c r="B12" s="43">
        <v>17546474.93</v>
      </c>
      <c r="C12" s="43">
        <v>5681937</v>
      </c>
      <c r="D12" s="43">
        <v>1250216.8899999999</v>
      </c>
      <c r="E12" s="43">
        <v>1300835.6599999999</v>
      </c>
      <c r="F12" s="44">
        <f t="shared" si="0"/>
        <v>25779464.48</v>
      </c>
      <c r="G12" s="45">
        <v>1</v>
      </c>
      <c r="H12" s="46" t="s">
        <v>19</v>
      </c>
      <c r="I12" s="47">
        <f t="shared" si="4"/>
        <v>25779464.48</v>
      </c>
      <c r="J12" s="47">
        <v>17164687.817436002</v>
      </c>
      <c r="K12" s="47">
        <v>4130863.7906870013</v>
      </c>
      <c r="L12" s="47">
        <v>1244538.8228829999</v>
      </c>
      <c r="M12" s="47">
        <v>1313697.860755</v>
      </c>
      <c r="N12" s="47">
        <f t="shared" si="1"/>
        <v>23853788.291761003</v>
      </c>
      <c r="O12" s="47">
        <v>2</v>
      </c>
      <c r="P12" s="46" t="s">
        <v>19</v>
      </c>
      <c r="Q12" s="47">
        <f t="shared" si="5"/>
        <v>11926894.145880502</v>
      </c>
      <c r="R12" s="48">
        <f t="shared" si="2"/>
        <v>-7.469806790334836</v>
      </c>
      <c r="S12" s="49" t="e">
        <f t="shared" si="3"/>
        <v>#VALUE!</v>
      </c>
      <c r="T12" s="50">
        <f t="shared" si="3"/>
        <v>-53.734903395167422</v>
      </c>
      <c r="U12" s="51">
        <v>106</v>
      </c>
    </row>
    <row r="13" spans="1:21" s="40" customFormat="1" ht="31.5" x14ac:dyDescent="0.2">
      <c r="A13" s="20" t="s">
        <v>25</v>
      </c>
      <c r="B13" s="297" t="s">
        <v>26</v>
      </c>
      <c r="C13" s="298"/>
      <c r="D13" s="298"/>
      <c r="E13" s="298"/>
      <c r="F13" s="298"/>
      <c r="G13" s="298"/>
      <c r="H13" s="298"/>
      <c r="I13" s="299"/>
      <c r="J13" s="294" t="s">
        <v>27</v>
      </c>
      <c r="K13" s="295"/>
      <c r="L13" s="295"/>
      <c r="M13" s="295"/>
      <c r="N13" s="295"/>
      <c r="O13" s="295"/>
      <c r="P13" s="295"/>
      <c r="Q13" s="296"/>
      <c r="R13" s="26" t="e">
        <f t="shared" si="2"/>
        <v>#DIV/0!</v>
      </c>
      <c r="S13" s="27" t="e">
        <f t="shared" si="3"/>
        <v>#DIV/0!</v>
      </c>
      <c r="T13" s="28" t="e">
        <f t="shared" si="3"/>
        <v>#DIV/0!</v>
      </c>
    </row>
    <row r="14" spans="1:21" s="40" customFormat="1" ht="47.25" x14ac:dyDescent="0.2">
      <c r="A14" s="20" t="s">
        <v>28</v>
      </c>
      <c r="B14" s="52"/>
      <c r="C14" s="53"/>
      <c r="D14" s="53"/>
      <c r="E14" s="53"/>
      <c r="F14" s="53"/>
      <c r="G14" s="53"/>
      <c r="H14" s="53"/>
      <c r="I14" s="54"/>
      <c r="J14" s="55">
        <v>16209766.862268997</v>
      </c>
      <c r="K14" s="55">
        <v>2923669.125219</v>
      </c>
      <c r="L14" s="55">
        <v>1071370.760088</v>
      </c>
      <c r="M14" s="56">
        <v>1310388.587541</v>
      </c>
      <c r="N14" s="55">
        <f>SUM(J14:M14)</f>
        <v>21515195.335116997</v>
      </c>
      <c r="O14" s="56">
        <v>5</v>
      </c>
      <c r="P14" s="56" t="s">
        <v>29</v>
      </c>
      <c r="Q14" s="56">
        <f t="shared" si="5"/>
        <v>4303039.0670233993</v>
      </c>
      <c r="R14" s="26" t="e">
        <f t="shared" si="2"/>
        <v>#DIV/0!</v>
      </c>
      <c r="S14" s="27" t="e">
        <f t="shared" si="3"/>
        <v>#VALUE!</v>
      </c>
      <c r="T14" s="28" t="e">
        <f t="shared" si="3"/>
        <v>#DIV/0!</v>
      </c>
    </row>
    <row r="15" spans="1:21" s="60" customFormat="1" ht="47.25" x14ac:dyDescent="0.2">
      <c r="A15" s="30" t="s">
        <v>30</v>
      </c>
      <c r="B15" s="31">
        <v>27573549.530000001</v>
      </c>
      <c r="C15" s="31">
        <v>14153722.33</v>
      </c>
      <c r="D15" s="31">
        <v>1206032.57</v>
      </c>
      <c r="E15" s="31">
        <v>1189411.6299999999</v>
      </c>
      <c r="F15" s="32">
        <f t="shared" ref="F15:F20" si="6">SUM(B15:E15)</f>
        <v>44122716.060000002</v>
      </c>
      <c r="G15" s="57">
        <v>1</v>
      </c>
      <c r="H15" s="58" t="s">
        <v>19</v>
      </c>
      <c r="I15" s="35">
        <f t="shared" si="4"/>
        <v>44122716.060000002</v>
      </c>
      <c r="J15" s="35">
        <v>27759056.171700001</v>
      </c>
      <c r="K15" s="35">
        <v>10384863.964002999</v>
      </c>
      <c r="L15" s="35">
        <v>1197626.5948340001</v>
      </c>
      <c r="M15" s="35">
        <v>1062651.8375240001</v>
      </c>
      <c r="N15" s="59">
        <f>SUM(J15:M15)</f>
        <v>40404198.568060994</v>
      </c>
      <c r="O15" s="35">
        <v>3</v>
      </c>
      <c r="P15" s="58" t="s">
        <v>19</v>
      </c>
      <c r="Q15" s="35">
        <f t="shared" si="5"/>
        <v>13468066.189353665</v>
      </c>
      <c r="R15" s="36">
        <f t="shared" si="2"/>
        <v>-8.427671331208181</v>
      </c>
      <c r="S15" s="37" t="e">
        <f t="shared" si="3"/>
        <v>#VALUE!</v>
      </c>
      <c r="T15" s="38">
        <f t="shared" si="3"/>
        <v>-69.475890443736048</v>
      </c>
      <c r="U15" s="60">
        <v>109</v>
      </c>
    </row>
    <row r="16" spans="1:21" s="40" customFormat="1" ht="47.25" x14ac:dyDescent="0.2">
      <c r="A16" s="20" t="s">
        <v>31</v>
      </c>
      <c r="B16" s="21">
        <v>39905422.700000003</v>
      </c>
      <c r="C16" s="21">
        <v>9746524.0299999993</v>
      </c>
      <c r="D16" s="21">
        <v>1902095.62</v>
      </c>
      <c r="E16" s="21">
        <v>2031010.43</v>
      </c>
      <c r="F16" s="22">
        <f t="shared" si="6"/>
        <v>53585052.780000001</v>
      </c>
      <c r="G16" s="23">
        <v>1</v>
      </c>
      <c r="H16" s="41" t="s">
        <v>32</v>
      </c>
      <c r="I16" s="25">
        <f t="shared" si="4"/>
        <v>53585052.780000001</v>
      </c>
      <c r="J16" s="25">
        <v>39568313.874730997</v>
      </c>
      <c r="K16" s="25">
        <v>11283696.910865</v>
      </c>
      <c r="L16" s="25">
        <v>1864377.7149109999</v>
      </c>
      <c r="M16" s="25">
        <v>1700630.6905910003</v>
      </c>
      <c r="N16" s="55">
        <f>SUM(J16:M16)</f>
        <v>54417019.191097997</v>
      </c>
      <c r="O16" s="25">
        <v>2</v>
      </c>
      <c r="P16" s="25" t="s">
        <v>32</v>
      </c>
      <c r="Q16" s="25">
        <f t="shared" si="5"/>
        <v>27208509.595548999</v>
      </c>
      <c r="R16" s="26">
        <f t="shared" si="2"/>
        <v>1.5526091100698098</v>
      </c>
      <c r="S16" s="27" t="e">
        <f t="shared" si="3"/>
        <v>#VALUE!</v>
      </c>
      <c r="T16" s="28">
        <f t="shared" si="3"/>
        <v>-49.223695444965095</v>
      </c>
      <c r="U16" s="40">
        <v>108</v>
      </c>
    </row>
    <row r="17" spans="1:23" s="40" customFormat="1" ht="47.25" x14ac:dyDescent="0.2">
      <c r="A17" s="20" t="s">
        <v>33</v>
      </c>
      <c r="B17" s="21">
        <v>16103616.560000001</v>
      </c>
      <c r="C17" s="21">
        <v>6040096.1600000001</v>
      </c>
      <c r="D17" s="21">
        <v>1127081.3</v>
      </c>
      <c r="E17" s="21">
        <v>1408565.54</v>
      </c>
      <c r="F17" s="22">
        <f t="shared" si="6"/>
        <v>24679359.559999999</v>
      </c>
      <c r="G17" s="23">
        <v>139</v>
      </c>
      <c r="H17" s="41" t="s">
        <v>34</v>
      </c>
      <c r="I17" s="25">
        <f t="shared" si="4"/>
        <v>177549.34935251798</v>
      </c>
      <c r="J17" s="294" t="s">
        <v>27</v>
      </c>
      <c r="K17" s="295"/>
      <c r="L17" s="295"/>
      <c r="M17" s="295"/>
      <c r="N17" s="295"/>
      <c r="O17" s="295"/>
      <c r="P17" s="295"/>
      <c r="Q17" s="296"/>
      <c r="R17" s="26">
        <f t="shared" si="2"/>
        <v>-100</v>
      </c>
      <c r="S17" s="27" t="e">
        <f t="shared" si="3"/>
        <v>#VALUE!</v>
      </c>
      <c r="T17" s="28">
        <f t="shared" si="3"/>
        <v>-100</v>
      </c>
      <c r="U17" s="40">
        <v>107</v>
      </c>
    </row>
    <row r="18" spans="1:23" s="40" customFormat="1" ht="47.25" x14ac:dyDescent="0.2">
      <c r="A18" s="20" t="s">
        <v>35</v>
      </c>
      <c r="B18" s="21">
        <v>1831366.9100000001</v>
      </c>
      <c r="C18" s="21">
        <v>1172563.25</v>
      </c>
      <c r="D18" s="21">
        <v>658147.74</v>
      </c>
      <c r="E18" s="21">
        <v>656163.18000000005</v>
      </c>
      <c r="F18" s="22">
        <f t="shared" si="6"/>
        <v>4318241.08</v>
      </c>
      <c r="G18" s="61">
        <v>6</v>
      </c>
      <c r="H18" s="41" t="s">
        <v>19</v>
      </c>
      <c r="I18" s="25">
        <f t="shared" si="4"/>
        <v>719706.84666666668</v>
      </c>
      <c r="J18" s="25">
        <v>8699460.1154050007</v>
      </c>
      <c r="K18" s="25">
        <v>1169463.004733</v>
      </c>
      <c r="L18" s="25">
        <v>613830.67439000006</v>
      </c>
      <c r="M18" s="25">
        <v>627459.82056200004</v>
      </c>
      <c r="N18" s="25">
        <f>SUM(J18:M18)</f>
        <v>11110213.61509</v>
      </c>
      <c r="O18" s="25">
        <v>11</v>
      </c>
      <c r="P18" s="25" t="s">
        <v>19</v>
      </c>
      <c r="Q18" s="25">
        <f t="shared" si="5"/>
        <v>1010019.4195536363</v>
      </c>
      <c r="R18" s="26">
        <f t="shared" si="2"/>
        <v>157.28562646831193</v>
      </c>
      <c r="S18" s="27" t="e">
        <f t="shared" si="3"/>
        <v>#VALUE!</v>
      </c>
      <c r="T18" s="28">
        <f t="shared" si="3"/>
        <v>40.33761443726106</v>
      </c>
      <c r="U18" s="40">
        <v>111</v>
      </c>
    </row>
    <row r="19" spans="1:23" s="40" customFormat="1" ht="47.25" x14ac:dyDescent="0.2">
      <c r="A19" s="20" t="s">
        <v>36</v>
      </c>
      <c r="B19" s="21">
        <v>494183.25999999791</v>
      </c>
      <c r="C19" s="21">
        <v>424219.52</v>
      </c>
      <c r="D19" s="21">
        <v>304886.35000000009</v>
      </c>
      <c r="E19" s="21">
        <v>854898.1</v>
      </c>
      <c r="F19" s="22">
        <f t="shared" si="6"/>
        <v>2078187.2299999981</v>
      </c>
      <c r="G19" s="23">
        <v>12</v>
      </c>
      <c r="H19" s="41" t="s">
        <v>19</v>
      </c>
      <c r="I19" s="25">
        <f t="shared" si="4"/>
        <v>173182.26916666652</v>
      </c>
      <c r="J19" s="294"/>
      <c r="K19" s="295"/>
      <c r="L19" s="295"/>
      <c r="M19" s="295"/>
      <c r="N19" s="295"/>
      <c r="O19" s="295"/>
      <c r="P19" s="295"/>
      <c r="Q19" s="296"/>
      <c r="R19" s="26">
        <f t="shared" si="2"/>
        <v>-100</v>
      </c>
      <c r="S19" s="27" t="e">
        <f t="shared" si="3"/>
        <v>#VALUE!</v>
      </c>
      <c r="T19" s="28">
        <f t="shared" si="3"/>
        <v>-100</v>
      </c>
      <c r="U19" s="40">
        <v>202</v>
      </c>
    </row>
    <row r="20" spans="1:23" s="40" customFormat="1" ht="47.25" x14ac:dyDescent="0.2">
      <c r="A20" s="20" t="s">
        <v>37</v>
      </c>
      <c r="B20" s="21">
        <v>162680140.81</v>
      </c>
      <c r="C20" s="21">
        <v>53792064.090000004</v>
      </c>
      <c r="D20" s="21">
        <v>8192301.6299999999</v>
      </c>
      <c r="E20" s="21">
        <v>6447546.4199999999</v>
      </c>
      <c r="F20" s="22">
        <f t="shared" si="6"/>
        <v>231112052.94999999</v>
      </c>
      <c r="G20" s="23">
        <v>2202</v>
      </c>
      <c r="H20" s="41" t="s">
        <v>38</v>
      </c>
      <c r="I20" s="25">
        <f t="shared" si="4"/>
        <v>104955.51905086284</v>
      </c>
      <c r="J20" s="25">
        <v>130854148.417942</v>
      </c>
      <c r="K20" s="25">
        <v>13457787.902811999</v>
      </c>
      <c r="L20" s="25">
        <v>9479384.8044370003</v>
      </c>
      <c r="M20" s="25">
        <v>8709221.6440329999</v>
      </c>
      <c r="N20" s="25">
        <f t="shared" ref="N20:N25" si="7">SUM(J20:M20)</f>
        <v>162500542.76922399</v>
      </c>
      <c r="O20" s="25">
        <v>2496</v>
      </c>
      <c r="P20" s="25" t="s">
        <v>38</v>
      </c>
      <c r="Q20" s="25">
        <f>N20/O20</f>
        <v>65104.38412228525</v>
      </c>
      <c r="R20" s="26">
        <f t="shared" si="2"/>
        <v>-29.687551689751025</v>
      </c>
      <c r="S20" s="27" t="e">
        <f t="shared" si="3"/>
        <v>#VALUE!</v>
      </c>
      <c r="T20" s="28">
        <f t="shared" si="3"/>
        <v>-37.969546803217852</v>
      </c>
      <c r="U20" s="40">
        <v>219</v>
      </c>
      <c r="W20" s="62" t="e">
        <f>+#REF!+F20</f>
        <v>#REF!</v>
      </c>
    </row>
    <row r="21" spans="1:23" s="40" customFormat="1" ht="63" x14ac:dyDescent="0.2">
      <c r="A21" s="20" t="s">
        <v>39</v>
      </c>
      <c r="B21" s="294" t="s">
        <v>26</v>
      </c>
      <c r="C21" s="295"/>
      <c r="D21" s="295"/>
      <c r="E21" s="295"/>
      <c r="F21" s="295"/>
      <c r="G21" s="295"/>
      <c r="H21" s="295"/>
      <c r="I21" s="296"/>
      <c r="J21" s="25">
        <v>16511635.65353</v>
      </c>
      <c r="K21" s="25">
        <v>1764545.3346670002</v>
      </c>
      <c r="L21" s="25">
        <v>1188056.889344</v>
      </c>
      <c r="M21" s="25">
        <v>718725.78355500009</v>
      </c>
      <c r="N21" s="25">
        <f t="shared" si="7"/>
        <v>20182963.661095999</v>
      </c>
      <c r="O21" s="25">
        <v>6</v>
      </c>
      <c r="P21" s="25" t="s">
        <v>38</v>
      </c>
      <c r="Q21" s="25">
        <f t="shared" si="5"/>
        <v>3363827.2768493332</v>
      </c>
      <c r="R21" s="26" t="e">
        <f t="shared" si="2"/>
        <v>#DIV/0!</v>
      </c>
      <c r="S21" s="27" t="e">
        <f t="shared" si="3"/>
        <v>#VALUE!</v>
      </c>
      <c r="T21" s="28" t="e">
        <f t="shared" si="3"/>
        <v>#DIV/0!</v>
      </c>
      <c r="W21" s="62"/>
    </row>
    <row r="22" spans="1:23" s="40" customFormat="1" ht="47.25" x14ac:dyDescent="0.2">
      <c r="A22" s="20" t="s">
        <v>40</v>
      </c>
      <c r="B22" s="294" t="s">
        <v>26</v>
      </c>
      <c r="C22" s="295"/>
      <c r="D22" s="295"/>
      <c r="E22" s="295"/>
      <c r="F22" s="295"/>
      <c r="G22" s="295"/>
      <c r="H22" s="295"/>
      <c r="I22" s="296"/>
      <c r="J22" s="25">
        <v>100003932.46954401</v>
      </c>
      <c r="K22" s="25">
        <v>28886284.030352063</v>
      </c>
      <c r="L22" s="25">
        <v>22803595.8976143</v>
      </c>
      <c r="M22" s="25">
        <v>2691916.56</v>
      </c>
      <c r="N22" s="25">
        <f t="shared" si="7"/>
        <v>154385728.95751038</v>
      </c>
      <c r="O22" s="25">
        <v>40</v>
      </c>
      <c r="P22" s="25" t="s">
        <v>29</v>
      </c>
      <c r="Q22" s="25">
        <f t="shared" si="5"/>
        <v>3859643.2239377596</v>
      </c>
      <c r="R22" s="26" t="e">
        <f t="shared" si="2"/>
        <v>#DIV/0!</v>
      </c>
      <c r="S22" s="27" t="e">
        <f t="shared" si="3"/>
        <v>#VALUE!</v>
      </c>
      <c r="T22" s="28" t="e">
        <f t="shared" si="3"/>
        <v>#DIV/0!</v>
      </c>
      <c r="W22" s="62"/>
    </row>
    <row r="23" spans="1:23" s="40" customFormat="1" ht="47.25" x14ac:dyDescent="0.2">
      <c r="A23" s="20" t="s">
        <v>41</v>
      </c>
      <c r="B23" s="294" t="s">
        <v>26</v>
      </c>
      <c r="C23" s="295"/>
      <c r="D23" s="295"/>
      <c r="E23" s="295"/>
      <c r="F23" s="295"/>
      <c r="G23" s="295"/>
      <c r="H23" s="295"/>
      <c r="I23" s="296"/>
      <c r="J23" s="25">
        <v>30400426.20565901</v>
      </c>
      <c r="K23" s="25">
        <v>1091211.190649</v>
      </c>
      <c r="L23" s="25">
        <v>2419247.6560770003</v>
      </c>
      <c r="M23" s="25">
        <v>1883518.8741680004</v>
      </c>
      <c r="N23" s="25">
        <f t="shared" si="7"/>
        <v>35794403.926553011</v>
      </c>
      <c r="O23" s="25">
        <v>19</v>
      </c>
      <c r="P23" s="25" t="s">
        <v>38</v>
      </c>
      <c r="Q23" s="25">
        <f t="shared" si="5"/>
        <v>1883915.9961343689</v>
      </c>
      <c r="R23" s="26" t="e">
        <f t="shared" si="2"/>
        <v>#DIV/0!</v>
      </c>
      <c r="S23" s="27" t="e">
        <f t="shared" si="3"/>
        <v>#VALUE!</v>
      </c>
      <c r="T23" s="28" t="e">
        <f t="shared" si="3"/>
        <v>#DIV/0!</v>
      </c>
      <c r="W23" s="62"/>
    </row>
    <row r="24" spans="1:23" s="40" customFormat="1" ht="31.5" x14ac:dyDescent="0.2">
      <c r="A24" s="20" t="s">
        <v>42</v>
      </c>
      <c r="B24" s="294" t="s">
        <v>26</v>
      </c>
      <c r="C24" s="295"/>
      <c r="D24" s="295"/>
      <c r="E24" s="295"/>
      <c r="F24" s="295"/>
      <c r="G24" s="295"/>
      <c r="H24" s="295"/>
      <c r="I24" s="296"/>
      <c r="J24" s="25">
        <v>71645669.15364401</v>
      </c>
      <c r="K24" s="25">
        <v>20506356.183165003</v>
      </c>
      <c r="L24" s="25">
        <v>5376467.9753009984</v>
      </c>
      <c r="M24" s="25">
        <v>4932208.3425100008</v>
      </c>
      <c r="N24" s="25">
        <f t="shared" si="7"/>
        <v>102460701.65462001</v>
      </c>
      <c r="O24" s="25">
        <v>232</v>
      </c>
      <c r="P24" s="25" t="s">
        <v>32</v>
      </c>
      <c r="Q24" s="25">
        <f t="shared" si="5"/>
        <v>441640.95540784486</v>
      </c>
      <c r="R24" s="26" t="e">
        <f t="shared" si="2"/>
        <v>#DIV/0!</v>
      </c>
      <c r="S24" s="27" t="e">
        <f t="shared" si="3"/>
        <v>#VALUE!</v>
      </c>
      <c r="T24" s="28" t="e">
        <f t="shared" si="3"/>
        <v>#DIV/0!</v>
      </c>
      <c r="W24" s="62"/>
    </row>
    <row r="25" spans="1:23" s="40" customFormat="1" x14ac:dyDescent="0.2">
      <c r="A25" s="20" t="s">
        <v>43</v>
      </c>
      <c r="B25" s="294" t="s">
        <v>26</v>
      </c>
      <c r="C25" s="295"/>
      <c r="D25" s="295"/>
      <c r="E25" s="295"/>
      <c r="F25" s="295"/>
      <c r="G25" s="295"/>
      <c r="H25" s="295"/>
      <c r="I25" s="296"/>
      <c r="J25" s="25">
        <v>69226659.688462988</v>
      </c>
      <c r="K25" s="25">
        <v>7808818.5251820004</v>
      </c>
      <c r="L25" s="25">
        <v>5157282.1605180008</v>
      </c>
      <c r="M25" s="25">
        <v>4973251.9350439999</v>
      </c>
      <c r="N25" s="25">
        <f t="shared" si="7"/>
        <v>87166012.309206992</v>
      </c>
      <c r="O25" s="25">
        <v>123</v>
      </c>
      <c r="P25" s="25" t="s">
        <v>19</v>
      </c>
      <c r="Q25" s="25">
        <f t="shared" si="5"/>
        <v>708666.76674152026</v>
      </c>
      <c r="R25" s="26" t="e">
        <f t="shared" si="2"/>
        <v>#DIV/0!</v>
      </c>
      <c r="S25" s="27" t="e">
        <f t="shared" si="3"/>
        <v>#VALUE!</v>
      </c>
      <c r="T25" s="28" t="e">
        <f t="shared" si="3"/>
        <v>#DIV/0!</v>
      </c>
      <c r="W25" s="62"/>
    </row>
    <row r="26" spans="1:23" s="40" customFormat="1" ht="63" x14ac:dyDescent="0.2">
      <c r="A26" s="20" t="s">
        <v>44</v>
      </c>
      <c r="B26" s="21">
        <v>690647.64999999851</v>
      </c>
      <c r="C26" s="21">
        <v>1340112.93</v>
      </c>
      <c r="D26" s="21">
        <v>1409718.0299999998</v>
      </c>
      <c r="E26" s="21">
        <v>1980998.82</v>
      </c>
      <c r="F26" s="22">
        <f>SUM(B26:E26)</f>
        <v>5421477.4299999988</v>
      </c>
      <c r="G26" s="61">
        <v>12</v>
      </c>
      <c r="H26" s="41" t="s">
        <v>38</v>
      </c>
      <c r="I26" s="25">
        <f t="shared" si="4"/>
        <v>451789.78583333321</v>
      </c>
      <c r="J26" s="294" t="s">
        <v>27</v>
      </c>
      <c r="K26" s="295"/>
      <c r="L26" s="295"/>
      <c r="M26" s="295"/>
      <c r="N26" s="295"/>
      <c r="O26" s="295"/>
      <c r="P26" s="295"/>
      <c r="Q26" s="296"/>
      <c r="R26" s="26">
        <f t="shared" si="2"/>
        <v>-100</v>
      </c>
      <c r="S26" s="27" t="e">
        <f t="shared" si="3"/>
        <v>#VALUE!</v>
      </c>
      <c r="T26" s="28">
        <f t="shared" si="3"/>
        <v>-100</v>
      </c>
      <c r="U26" s="40">
        <v>220</v>
      </c>
    </row>
    <row r="27" spans="1:23" s="40" customFormat="1" ht="47.25" x14ac:dyDescent="0.2">
      <c r="A27" s="20" t="s">
        <v>45</v>
      </c>
      <c r="B27" s="21">
        <v>71815732.590000004</v>
      </c>
      <c r="C27" s="21">
        <v>20131442.140000001</v>
      </c>
      <c r="D27" s="21">
        <v>5656594.5700000003</v>
      </c>
      <c r="E27" s="21">
        <v>5242303.8</v>
      </c>
      <c r="F27" s="22">
        <f>SUM(B27:E27)</f>
        <v>102846073.10000001</v>
      </c>
      <c r="G27" s="61">
        <v>15000</v>
      </c>
      <c r="H27" s="41" t="s">
        <v>46</v>
      </c>
      <c r="I27" s="25">
        <f t="shared" si="4"/>
        <v>6856.4048733333339</v>
      </c>
      <c r="J27" s="294" t="s">
        <v>27</v>
      </c>
      <c r="K27" s="295"/>
      <c r="L27" s="295"/>
      <c r="M27" s="295"/>
      <c r="N27" s="295"/>
      <c r="O27" s="295"/>
      <c r="P27" s="295"/>
      <c r="Q27" s="296"/>
      <c r="R27" s="26">
        <f t="shared" si="2"/>
        <v>-100</v>
      </c>
      <c r="S27" s="27" t="e">
        <f t="shared" si="3"/>
        <v>#VALUE!</v>
      </c>
      <c r="T27" s="28">
        <f t="shared" si="3"/>
        <v>-100</v>
      </c>
      <c r="U27" s="40">
        <v>221</v>
      </c>
    </row>
    <row r="28" spans="1:23" s="40" customFormat="1" ht="47.25" x14ac:dyDescent="0.2">
      <c r="A28" s="20" t="s">
        <v>47</v>
      </c>
      <c r="B28" s="21">
        <v>7792169.400000006</v>
      </c>
      <c r="C28" s="21">
        <v>7544564.71</v>
      </c>
      <c r="D28" s="21">
        <v>4829084.57</v>
      </c>
      <c r="E28" s="21">
        <v>5356093.45</v>
      </c>
      <c r="F28" s="22">
        <f>SUM(B28:E28)</f>
        <v>25521912.130000006</v>
      </c>
      <c r="G28" s="61">
        <v>12</v>
      </c>
      <c r="H28" s="41" t="s">
        <v>38</v>
      </c>
      <c r="I28" s="25">
        <f t="shared" si="4"/>
        <v>2126826.0108333337</v>
      </c>
      <c r="J28" s="294" t="s">
        <v>27</v>
      </c>
      <c r="K28" s="295"/>
      <c r="L28" s="295"/>
      <c r="M28" s="295"/>
      <c r="N28" s="295"/>
      <c r="O28" s="295"/>
      <c r="P28" s="295"/>
      <c r="Q28" s="296"/>
      <c r="R28" s="26">
        <f t="shared" si="2"/>
        <v>-100</v>
      </c>
      <c r="S28" s="27" t="e">
        <f t="shared" si="3"/>
        <v>#VALUE!</v>
      </c>
      <c r="T28" s="28">
        <f t="shared" si="3"/>
        <v>-100</v>
      </c>
      <c r="U28" s="40">
        <v>222</v>
      </c>
    </row>
    <row r="29" spans="1:23" s="40" customFormat="1" ht="31.5" x14ac:dyDescent="0.2">
      <c r="A29" s="20" t="s">
        <v>48</v>
      </c>
      <c r="B29" s="21">
        <v>115564662.63</v>
      </c>
      <c r="C29" s="21">
        <v>11549189.779999999</v>
      </c>
      <c r="D29" s="21">
        <v>8041904.7699999996</v>
      </c>
      <c r="E29" s="21">
        <v>8261002.1600000001</v>
      </c>
      <c r="F29" s="22">
        <f>SUM(B29:E29)</f>
        <v>143416759.34</v>
      </c>
      <c r="G29" s="23">
        <v>44</v>
      </c>
      <c r="H29" s="24" t="s">
        <v>49</v>
      </c>
      <c r="I29" s="25">
        <f t="shared" si="4"/>
        <v>3259471.8031818182</v>
      </c>
      <c r="J29" s="294" t="s">
        <v>27</v>
      </c>
      <c r="K29" s="295"/>
      <c r="L29" s="295"/>
      <c r="M29" s="295"/>
      <c r="N29" s="295"/>
      <c r="O29" s="295"/>
      <c r="P29" s="295"/>
      <c r="Q29" s="296"/>
      <c r="R29" s="26">
        <f t="shared" si="2"/>
        <v>-100</v>
      </c>
      <c r="S29" s="27" t="e">
        <f t="shared" si="3"/>
        <v>#VALUE!</v>
      </c>
      <c r="T29" s="28">
        <f t="shared" si="3"/>
        <v>-100</v>
      </c>
      <c r="U29" s="40">
        <v>223</v>
      </c>
    </row>
    <row r="30" spans="1:23" s="40" customFormat="1" ht="31.5" x14ac:dyDescent="0.2">
      <c r="A30" s="20" t="s">
        <v>50</v>
      </c>
      <c r="B30" s="21">
        <v>1875997.5500000007</v>
      </c>
      <c r="C30" s="21">
        <v>131740.62</v>
      </c>
      <c r="D30" s="21">
        <v>138676.16</v>
      </c>
      <c r="E30" s="21">
        <v>315859.39</v>
      </c>
      <c r="F30" s="22">
        <f>SUM(B30:E30)</f>
        <v>2462273.7200000011</v>
      </c>
      <c r="G30" s="23">
        <v>1</v>
      </c>
      <c r="H30" s="41" t="s">
        <v>19</v>
      </c>
      <c r="I30" s="25">
        <f t="shared" si="4"/>
        <v>2462273.7200000011</v>
      </c>
      <c r="J30" s="294" t="s">
        <v>27</v>
      </c>
      <c r="K30" s="295"/>
      <c r="L30" s="295"/>
      <c r="M30" s="295"/>
      <c r="N30" s="295"/>
      <c r="O30" s="295"/>
      <c r="P30" s="295"/>
      <c r="Q30" s="296"/>
      <c r="R30" s="26">
        <f t="shared" si="2"/>
        <v>-100</v>
      </c>
      <c r="S30" s="27" t="e">
        <f t="shared" si="3"/>
        <v>#VALUE!</v>
      </c>
      <c r="T30" s="28">
        <f t="shared" si="3"/>
        <v>-100</v>
      </c>
      <c r="U30" s="40">
        <v>225</v>
      </c>
    </row>
    <row r="31" spans="1:23" s="40" customFormat="1" ht="31.5" x14ac:dyDescent="0.2">
      <c r="A31" s="20" t="s">
        <v>51</v>
      </c>
      <c r="B31" s="297" t="s">
        <v>26</v>
      </c>
      <c r="C31" s="298"/>
      <c r="D31" s="298"/>
      <c r="E31" s="298"/>
      <c r="F31" s="298"/>
      <c r="G31" s="298"/>
      <c r="H31" s="298"/>
      <c r="I31" s="299"/>
      <c r="J31" s="25">
        <v>51111671.499632008</v>
      </c>
      <c r="K31" s="25">
        <v>11617310.789758001</v>
      </c>
      <c r="L31" s="25">
        <v>3411149.9510399997</v>
      </c>
      <c r="M31" s="25">
        <v>3363725.3462820002</v>
      </c>
      <c r="N31" s="25">
        <f>SUM(J31:M31)</f>
        <v>69503857.586712018</v>
      </c>
      <c r="O31" s="25">
        <v>89</v>
      </c>
      <c r="P31" s="25" t="s">
        <v>52</v>
      </c>
      <c r="Q31" s="25">
        <f>N31/O31</f>
        <v>780942.22007541591</v>
      </c>
      <c r="R31" s="26" t="e">
        <f t="shared" si="2"/>
        <v>#DIV/0!</v>
      </c>
      <c r="S31" s="27" t="e">
        <f t="shared" si="3"/>
        <v>#VALUE!</v>
      </c>
      <c r="T31" s="28" t="e">
        <f t="shared" si="3"/>
        <v>#DIV/0!</v>
      </c>
    </row>
    <row r="32" spans="1:23" s="40" customFormat="1" ht="31.5" x14ac:dyDescent="0.2">
      <c r="A32" s="20" t="s">
        <v>53</v>
      </c>
      <c r="B32" s="297" t="s">
        <v>26</v>
      </c>
      <c r="C32" s="298"/>
      <c r="D32" s="298"/>
      <c r="E32" s="298"/>
      <c r="F32" s="298"/>
      <c r="G32" s="298"/>
      <c r="H32" s="298"/>
      <c r="I32" s="299"/>
      <c r="J32" s="25">
        <v>1872349.1690059998</v>
      </c>
      <c r="K32" s="25">
        <v>44684.63622</v>
      </c>
      <c r="L32" s="25">
        <v>127321.89559999999</v>
      </c>
      <c r="M32" s="25">
        <v>196464.15578599999</v>
      </c>
      <c r="N32" s="25">
        <f>SUM(J32:M32)</f>
        <v>2240819.8566119997</v>
      </c>
      <c r="O32" s="25">
        <v>30</v>
      </c>
      <c r="P32" s="25" t="s">
        <v>19</v>
      </c>
      <c r="Q32" s="25">
        <f>N32/O32</f>
        <v>74693.995220399986</v>
      </c>
      <c r="R32" s="26" t="e">
        <f t="shared" si="2"/>
        <v>#DIV/0!</v>
      </c>
      <c r="S32" s="27" t="e">
        <f t="shared" si="3"/>
        <v>#VALUE!</v>
      </c>
      <c r="T32" s="28" t="e">
        <f t="shared" si="3"/>
        <v>#DIV/0!</v>
      </c>
    </row>
    <row r="33" spans="1:22" s="40" customFormat="1" ht="47.25" x14ac:dyDescent="0.2">
      <c r="A33" s="20" t="s">
        <v>54</v>
      </c>
      <c r="B33" s="297" t="s">
        <v>26</v>
      </c>
      <c r="C33" s="298"/>
      <c r="D33" s="298"/>
      <c r="E33" s="298"/>
      <c r="F33" s="298"/>
      <c r="G33" s="298"/>
      <c r="H33" s="298"/>
      <c r="I33" s="299"/>
      <c r="J33" s="25">
        <v>81438463.370885</v>
      </c>
      <c r="K33" s="25">
        <v>22994401.479614992</v>
      </c>
      <c r="L33" s="25">
        <v>4560371.2440470001</v>
      </c>
      <c r="M33" s="25">
        <v>4131735.9840560006</v>
      </c>
      <c r="N33" s="25">
        <f>SUM(J33:M33)</f>
        <v>113124972.07860298</v>
      </c>
      <c r="O33" s="25">
        <v>13</v>
      </c>
      <c r="P33" s="25" t="s">
        <v>38</v>
      </c>
      <c r="Q33" s="25">
        <f>N33/O33</f>
        <v>8701920.9291233066</v>
      </c>
      <c r="R33" s="26" t="e">
        <f t="shared" si="2"/>
        <v>#DIV/0!</v>
      </c>
      <c r="S33" s="27" t="e">
        <f t="shared" si="3"/>
        <v>#VALUE!</v>
      </c>
      <c r="T33" s="28" t="e">
        <f t="shared" si="3"/>
        <v>#DIV/0!</v>
      </c>
    </row>
    <row r="34" spans="1:22" s="40" customFormat="1" ht="31.5" x14ac:dyDescent="0.2">
      <c r="A34" s="20" t="s">
        <v>55</v>
      </c>
      <c r="B34" s="297" t="s">
        <v>26</v>
      </c>
      <c r="C34" s="298"/>
      <c r="D34" s="298"/>
      <c r="E34" s="298"/>
      <c r="F34" s="298"/>
      <c r="G34" s="298"/>
      <c r="H34" s="298"/>
      <c r="I34" s="299"/>
      <c r="J34" s="25">
        <v>29079552.640349999</v>
      </c>
      <c r="K34" s="25">
        <v>4609213.0209480003</v>
      </c>
      <c r="L34" s="25">
        <v>1835694.2933840002</v>
      </c>
      <c r="M34" s="25">
        <v>1705154.7564029999</v>
      </c>
      <c r="N34" s="25">
        <f>SUM(J34:M34)</f>
        <v>37229614.711084999</v>
      </c>
      <c r="O34" s="25">
        <v>45</v>
      </c>
      <c r="P34" s="25" t="s">
        <v>56</v>
      </c>
      <c r="Q34" s="25">
        <f>N34/O34</f>
        <v>827324.77135744446</v>
      </c>
      <c r="R34" s="26" t="e">
        <f t="shared" si="2"/>
        <v>#DIV/0!</v>
      </c>
      <c r="S34" s="27" t="e">
        <f t="shared" si="3"/>
        <v>#VALUE!</v>
      </c>
      <c r="T34" s="28" t="e">
        <f t="shared" si="3"/>
        <v>#DIV/0!</v>
      </c>
    </row>
    <row r="35" spans="1:22" s="40" customFormat="1" x14ac:dyDescent="0.2">
      <c r="A35" s="20" t="s">
        <v>57</v>
      </c>
      <c r="B35" s="297" t="s">
        <v>26</v>
      </c>
      <c r="C35" s="298"/>
      <c r="D35" s="298"/>
      <c r="E35" s="298"/>
      <c r="F35" s="298"/>
      <c r="G35" s="298"/>
      <c r="H35" s="298"/>
      <c r="I35" s="299"/>
      <c r="J35" s="25">
        <v>16761739.858214002</v>
      </c>
      <c r="K35" s="25">
        <v>2101090.2612780002</v>
      </c>
      <c r="L35" s="25">
        <v>1074579.631636</v>
      </c>
      <c r="M35" s="25">
        <v>915940.78412099998</v>
      </c>
      <c r="N35" s="25">
        <f>SUM(J35:M35)</f>
        <v>20853350.535249002</v>
      </c>
      <c r="O35" s="25">
        <v>1</v>
      </c>
      <c r="P35" s="25" t="s">
        <v>58</v>
      </c>
      <c r="Q35" s="25">
        <f>N35/O35</f>
        <v>20853350.535249002</v>
      </c>
      <c r="R35" s="26" t="e">
        <f t="shared" si="2"/>
        <v>#DIV/0!</v>
      </c>
      <c r="S35" s="27" t="e">
        <f t="shared" si="3"/>
        <v>#VALUE!</v>
      </c>
      <c r="T35" s="28" t="e">
        <f t="shared" si="3"/>
        <v>#DIV/0!</v>
      </c>
    </row>
    <row r="36" spans="1:22" s="40" customFormat="1" ht="47.25" x14ac:dyDescent="0.2">
      <c r="A36" s="20" t="s">
        <v>59</v>
      </c>
      <c r="B36" s="21">
        <v>83920309.730000004</v>
      </c>
      <c r="C36" s="21">
        <v>42003089.039999999</v>
      </c>
      <c r="D36" s="21">
        <v>4910772.0199999996</v>
      </c>
      <c r="E36" s="21">
        <v>4487877.55</v>
      </c>
      <c r="F36" s="22">
        <f t="shared" ref="F36:F99" si="8">SUM(B36:E36)</f>
        <v>135322048.34</v>
      </c>
      <c r="G36" s="23">
        <v>69</v>
      </c>
      <c r="H36" s="41" t="s">
        <v>58</v>
      </c>
      <c r="I36" s="25">
        <f t="shared" si="4"/>
        <v>1961189.1063768116</v>
      </c>
      <c r="J36" s="294" t="s">
        <v>27</v>
      </c>
      <c r="K36" s="295"/>
      <c r="L36" s="295"/>
      <c r="M36" s="295"/>
      <c r="N36" s="295"/>
      <c r="O36" s="295"/>
      <c r="P36" s="295"/>
      <c r="Q36" s="296"/>
      <c r="R36" s="26">
        <f t="shared" si="2"/>
        <v>-100</v>
      </c>
      <c r="S36" s="27" t="e">
        <f t="shared" si="3"/>
        <v>#VALUE!</v>
      </c>
      <c r="T36" s="28">
        <f t="shared" si="3"/>
        <v>-100</v>
      </c>
      <c r="U36" s="40">
        <v>226</v>
      </c>
    </row>
    <row r="37" spans="1:22" ht="47.25" x14ac:dyDescent="0.2">
      <c r="A37" s="63" t="s">
        <v>60</v>
      </c>
      <c r="B37" s="297" t="s">
        <v>26</v>
      </c>
      <c r="C37" s="298"/>
      <c r="D37" s="298"/>
      <c r="E37" s="298"/>
      <c r="F37" s="298"/>
      <c r="G37" s="298"/>
      <c r="H37" s="298"/>
      <c r="I37" s="299"/>
      <c r="J37" s="64">
        <v>19625236.177170999</v>
      </c>
      <c r="K37" s="64">
        <v>1445792.520767</v>
      </c>
      <c r="L37" s="64">
        <v>1206574.887842</v>
      </c>
      <c r="M37" s="64">
        <v>3343091.9624359999</v>
      </c>
      <c r="N37" s="64">
        <f>SUM(J37:M37)</f>
        <v>25620695.548216</v>
      </c>
      <c r="O37" s="64">
        <v>1</v>
      </c>
      <c r="P37" s="64" t="s">
        <v>58</v>
      </c>
      <c r="Q37" s="64">
        <f>N37/O37</f>
        <v>25620695.548216</v>
      </c>
      <c r="R37" s="26" t="e">
        <f t="shared" si="2"/>
        <v>#DIV/0!</v>
      </c>
      <c r="S37" s="27" t="e">
        <f t="shared" si="3"/>
        <v>#VALUE!</v>
      </c>
      <c r="T37" s="28" t="e">
        <f t="shared" si="3"/>
        <v>#DIV/0!</v>
      </c>
    </row>
    <row r="38" spans="1:22" ht="47.25" x14ac:dyDescent="0.2">
      <c r="A38" s="63" t="s">
        <v>61</v>
      </c>
      <c r="B38" s="297" t="s">
        <v>26</v>
      </c>
      <c r="C38" s="298"/>
      <c r="D38" s="298"/>
      <c r="E38" s="298"/>
      <c r="F38" s="298"/>
      <c r="G38" s="298"/>
      <c r="H38" s="298"/>
      <c r="I38" s="299"/>
      <c r="J38" s="64">
        <v>10803488.225116001</v>
      </c>
      <c r="K38" s="64">
        <v>8898.9049259999993</v>
      </c>
      <c r="L38" s="64">
        <v>193852.00571</v>
      </c>
      <c r="M38" s="64">
        <v>4734410.2684500003</v>
      </c>
      <c r="N38" s="64">
        <f>SUM(J38:M38)</f>
        <v>15740649.404202003</v>
      </c>
      <c r="O38" s="64">
        <v>1</v>
      </c>
      <c r="P38" s="64" t="s">
        <v>58</v>
      </c>
      <c r="Q38" s="64">
        <f>N38/O38</f>
        <v>15740649.404202003</v>
      </c>
      <c r="R38" s="26" t="e">
        <f t="shared" si="2"/>
        <v>#DIV/0!</v>
      </c>
      <c r="S38" s="27" t="e">
        <f t="shared" si="3"/>
        <v>#VALUE!</v>
      </c>
      <c r="T38" s="28" t="e">
        <f t="shared" si="3"/>
        <v>#DIV/0!</v>
      </c>
    </row>
    <row r="39" spans="1:22" x14ac:dyDescent="0.2">
      <c r="A39" s="63" t="s">
        <v>62</v>
      </c>
      <c r="B39" s="297" t="s">
        <v>26</v>
      </c>
      <c r="C39" s="298"/>
      <c r="D39" s="298"/>
      <c r="E39" s="298"/>
      <c r="F39" s="298"/>
      <c r="G39" s="298"/>
      <c r="H39" s="298"/>
      <c r="I39" s="299"/>
      <c r="J39" s="64">
        <v>4133763.4294739999</v>
      </c>
      <c r="K39" s="64">
        <v>194689.93725600003</v>
      </c>
      <c r="L39" s="64">
        <v>238162.16246700002</v>
      </c>
      <c r="M39" s="64">
        <v>875108.7941409999</v>
      </c>
      <c r="N39" s="64">
        <f>SUM(J39:M39)</f>
        <v>5441724.3233380001</v>
      </c>
      <c r="O39" s="64">
        <v>1</v>
      </c>
      <c r="P39" s="64" t="s">
        <v>58</v>
      </c>
      <c r="Q39" s="64">
        <f>N39/O39</f>
        <v>5441724.3233380001</v>
      </c>
      <c r="R39" s="26" t="e">
        <f t="shared" si="2"/>
        <v>#DIV/0!</v>
      </c>
      <c r="S39" s="27" t="e">
        <f t="shared" si="3"/>
        <v>#VALUE!</v>
      </c>
      <c r="T39" s="28" t="e">
        <f t="shared" si="3"/>
        <v>#DIV/0!</v>
      </c>
    </row>
    <row r="40" spans="1:22" ht="47.25" x14ac:dyDescent="0.2">
      <c r="A40" s="63" t="s">
        <v>63</v>
      </c>
      <c r="B40" s="297" t="s">
        <v>26</v>
      </c>
      <c r="C40" s="298"/>
      <c r="D40" s="298"/>
      <c r="E40" s="298"/>
      <c r="F40" s="298"/>
      <c r="G40" s="298"/>
      <c r="H40" s="298"/>
      <c r="I40" s="299"/>
      <c r="J40" s="64">
        <v>11947141.116438001</v>
      </c>
      <c r="K40" s="64">
        <v>707067.06736800005</v>
      </c>
      <c r="L40" s="64">
        <v>408721.69917400007</v>
      </c>
      <c r="M40" s="64">
        <v>3906312.7644450003</v>
      </c>
      <c r="N40" s="64">
        <f>SUM(J40:M40)</f>
        <v>16969242.647425003</v>
      </c>
      <c r="O40" s="64">
        <v>1</v>
      </c>
      <c r="P40" s="64" t="s">
        <v>58</v>
      </c>
      <c r="Q40" s="64">
        <f>N40/O40</f>
        <v>16969242.647425003</v>
      </c>
      <c r="R40" s="26" t="e">
        <f t="shared" si="2"/>
        <v>#DIV/0!</v>
      </c>
      <c r="S40" s="27" t="e">
        <f t="shared" si="3"/>
        <v>#VALUE!</v>
      </c>
      <c r="T40" s="28" t="e">
        <f t="shared" si="3"/>
        <v>#DIV/0!</v>
      </c>
    </row>
    <row r="41" spans="1:22" s="40" customFormat="1" ht="31.5" x14ac:dyDescent="0.2">
      <c r="A41" s="20" t="s">
        <v>64</v>
      </c>
      <c r="B41" s="21">
        <v>59842860.829999998</v>
      </c>
      <c r="C41" s="21">
        <v>2692331.46</v>
      </c>
      <c r="D41" s="21">
        <v>1980236.77</v>
      </c>
      <c r="E41" s="21">
        <v>1916420.28</v>
      </c>
      <c r="F41" s="22">
        <f t="shared" si="8"/>
        <v>66431849.340000004</v>
      </c>
      <c r="G41" s="23">
        <v>6968</v>
      </c>
      <c r="H41" s="41" t="s">
        <v>65</v>
      </c>
      <c r="I41" s="25">
        <f t="shared" si="4"/>
        <v>9533.847494259473</v>
      </c>
      <c r="J41" s="294" t="s">
        <v>27</v>
      </c>
      <c r="K41" s="295"/>
      <c r="L41" s="295"/>
      <c r="M41" s="295"/>
      <c r="N41" s="295"/>
      <c r="O41" s="295"/>
      <c r="P41" s="295"/>
      <c r="Q41" s="296"/>
      <c r="R41" s="26">
        <f t="shared" si="2"/>
        <v>-100</v>
      </c>
      <c r="S41" s="27" t="e">
        <f t="shared" si="3"/>
        <v>#VALUE!</v>
      </c>
      <c r="T41" s="28">
        <f t="shared" si="3"/>
        <v>-100</v>
      </c>
      <c r="U41" s="40">
        <v>227</v>
      </c>
    </row>
    <row r="42" spans="1:22" s="40" customFormat="1" ht="31.5" x14ac:dyDescent="0.2">
      <c r="A42" s="20" t="s">
        <v>66</v>
      </c>
      <c r="B42" s="21">
        <v>42302095.840000004</v>
      </c>
      <c r="C42" s="21">
        <v>9136915.4399999995</v>
      </c>
      <c r="D42" s="21">
        <v>4767533.75</v>
      </c>
      <c r="E42" s="21">
        <v>4512359.51</v>
      </c>
      <c r="F42" s="22">
        <f t="shared" si="8"/>
        <v>60718904.539999999</v>
      </c>
      <c r="G42" s="23">
        <v>6000</v>
      </c>
      <c r="H42" s="41" t="s">
        <v>49</v>
      </c>
      <c r="I42" s="25">
        <f t="shared" si="4"/>
        <v>10119.817423333334</v>
      </c>
      <c r="J42" s="294" t="s">
        <v>27</v>
      </c>
      <c r="K42" s="295"/>
      <c r="L42" s="295"/>
      <c r="M42" s="295"/>
      <c r="N42" s="295"/>
      <c r="O42" s="295"/>
      <c r="P42" s="295"/>
      <c r="Q42" s="296"/>
      <c r="R42" s="26">
        <f t="shared" si="2"/>
        <v>-100</v>
      </c>
      <c r="S42" s="27" t="e">
        <f t="shared" si="3"/>
        <v>#VALUE!</v>
      </c>
      <c r="T42" s="28">
        <f t="shared" si="3"/>
        <v>-100</v>
      </c>
      <c r="U42" s="40">
        <v>228</v>
      </c>
      <c r="V42" s="62"/>
    </row>
    <row r="43" spans="1:22" s="40" customFormat="1" ht="47.25" x14ac:dyDescent="0.2">
      <c r="A43" s="20" t="s">
        <v>67</v>
      </c>
      <c r="B43" s="297" t="s">
        <v>26</v>
      </c>
      <c r="C43" s="298"/>
      <c r="D43" s="298"/>
      <c r="E43" s="298"/>
      <c r="F43" s="298"/>
      <c r="G43" s="298"/>
      <c r="H43" s="298"/>
      <c r="I43" s="299"/>
      <c r="J43" s="294" t="s">
        <v>27</v>
      </c>
      <c r="K43" s="295"/>
      <c r="L43" s="295"/>
      <c r="M43" s="295"/>
      <c r="N43" s="295"/>
      <c r="O43" s="295"/>
      <c r="P43" s="295"/>
      <c r="Q43" s="296"/>
      <c r="R43" s="26" t="e">
        <f t="shared" si="2"/>
        <v>#DIV/0!</v>
      </c>
      <c r="S43" s="27" t="e">
        <f t="shared" si="3"/>
        <v>#DIV/0!</v>
      </c>
      <c r="T43" s="28" t="e">
        <f t="shared" si="3"/>
        <v>#DIV/0!</v>
      </c>
    </row>
    <row r="44" spans="1:22" ht="47.25" x14ac:dyDescent="0.2">
      <c r="A44" s="63" t="s">
        <v>68</v>
      </c>
      <c r="B44" s="65">
        <v>17049375.859999999</v>
      </c>
      <c r="C44" s="65">
        <v>1713998.41</v>
      </c>
      <c r="D44" s="65">
        <v>1215227.93</v>
      </c>
      <c r="E44" s="65">
        <v>1949883.81</v>
      </c>
      <c r="F44" s="66">
        <f t="shared" si="8"/>
        <v>21928486.009999998</v>
      </c>
      <c r="G44" s="67">
        <v>122</v>
      </c>
      <c r="H44" s="68" t="s">
        <v>58</v>
      </c>
      <c r="I44" s="64">
        <f t="shared" si="4"/>
        <v>179741.68860655735</v>
      </c>
      <c r="J44" s="294" t="s">
        <v>27</v>
      </c>
      <c r="K44" s="295"/>
      <c r="L44" s="295"/>
      <c r="M44" s="295"/>
      <c r="N44" s="295"/>
      <c r="O44" s="295"/>
      <c r="P44" s="295"/>
      <c r="Q44" s="296"/>
      <c r="R44" s="26">
        <f t="shared" si="2"/>
        <v>-100</v>
      </c>
      <c r="S44" s="27" t="e">
        <f t="shared" si="3"/>
        <v>#VALUE!</v>
      </c>
      <c r="T44" s="28">
        <f t="shared" si="3"/>
        <v>-100</v>
      </c>
      <c r="U44" s="2">
        <v>229</v>
      </c>
    </row>
    <row r="45" spans="1:22" ht="47.25" x14ac:dyDescent="0.2">
      <c r="A45" s="63" t="s">
        <v>69</v>
      </c>
      <c r="B45" s="65">
        <v>5465522.96</v>
      </c>
      <c r="C45" s="65">
        <v>87615.17</v>
      </c>
      <c r="D45" s="65">
        <v>97595.96</v>
      </c>
      <c r="E45" s="65">
        <v>1830445.96</v>
      </c>
      <c r="F45" s="66">
        <f t="shared" si="8"/>
        <v>7481180.0499999998</v>
      </c>
      <c r="G45" s="67">
        <v>1</v>
      </c>
      <c r="H45" s="68" t="s">
        <v>58</v>
      </c>
      <c r="I45" s="64">
        <f t="shared" si="4"/>
        <v>7481180.0499999998</v>
      </c>
      <c r="J45" s="294" t="s">
        <v>27</v>
      </c>
      <c r="K45" s="295"/>
      <c r="L45" s="295"/>
      <c r="M45" s="295"/>
      <c r="N45" s="295"/>
      <c r="O45" s="295"/>
      <c r="P45" s="295"/>
      <c r="Q45" s="296"/>
      <c r="R45" s="26">
        <f t="shared" si="2"/>
        <v>-100</v>
      </c>
      <c r="S45" s="27" t="e">
        <f t="shared" si="3"/>
        <v>#VALUE!</v>
      </c>
      <c r="T45" s="28">
        <f t="shared" si="3"/>
        <v>-100</v>
      </c>
      <c r="U45" s="2">
        <v>230</v>
      </c>
    </row>
    <row r="46" spans="1:22" x14ac:dyDescent="0.2">
      <c r="A46" s="63" t="s">
        <v>70</v>
      </c>
      <c r="B46" s="65">
        <v>3382857.29</v>
      </c>
      <c r="C46" s="65">
        <v>320882.73</v>
      </c>
      <c r="D46" s="65">
        <v>247499.04</v>
      </c>
      <c r="E46" s="65">
        <v>477207.06</v>
      </c>
      <c r="F46" s="66">
        <f t="shared" si="8"/>
        <v>4428446.12</v>
      </c>
      <c r="G46" s="67">
        <v>1</v>
      </c>
      <c r="H46" s="68" t="s">
        <v>71</v>
      </c>
      <c r="I46" s="64">
        <f t="shared" si="4"/>
        <v>4428446.12</v>
      </c>
      <c r="J46" s="294" t="s">
        <v>27</v>
      </c>
      <c r="K46" s="295"/>
      <c r="L46" s="295"/>
      <c r="M46" s="295"/>
      <c r="N46" s="295"/>
      <c r="O46" s="295"/>
      <c r="P46" s="295"/>
      <c r="Q46" s="296"/>
      <c r="R46" s="26">
        <f t="shared" si="2"/>
        <v>-100</v>
      </c>
      <c r="S46" s="27" t="e">
        <f t="shared" si="3"/>
        <v>#VALUE!</v>
      </c>
      <c r="T46" s="28">
        <f t="shared" si="3"/>
        <v>-100</v>
      </c>
      <c r="U46" s="2">
        <v>231</v>
      </c>
    </row>
    <row r="47" spans="1:22" ht="47.25" x14ac:dyDescent="0.2">
      <c r="A47" s="63" t="s">
        <v>72</v>
      </c>
      <c r="B47" s="65">
        <v>7955598.7800000003</v>
      </c>
      <c r="C47" s="65">
        <v>577459.01</v>
      </c>
      <c r="D47" s="65">
        <v>386303.44</v>
      </c>
      <c r="E47" s="65">
        <v>1689623.74</v>
      </c>
      <c r="F47" s="66">
        <f t="shared" si="8"/>
        <v>10608984.970000001</v>
      </c>
      <c r="G47" s="67">
        <v>1</v>
      </c>
      <c r="H47" s="68" t="s">
        <v>73</v>
      </c>
      <c r="I47" s="64">
        <f t="shared" si="4"/>
        <v>10608984.970000001</v>
      </c>
      <c r="J47" s="294" t="s">
        <v>27</v>
      </c>
      <c r="K47" s="295"/>
      <c r="L47" s="295"/>
      <c r="M47" s="295"/>
      <c r="N47" s="295"/>
      <c r="O47" s="295"/>
      <c r="P47" s="295"/>
      <c r="Q47" s="296"/>
      <c r="R47" s="26">
        <f t="shared" si="2"/>
        <v>-100</v>
      </c>
      <c r="S47" s="27" t="e">
        <f t="shared" si="3"/>
        <v>#VALUE!</v>
      </c>
      <c r="T47" s="28">
        <f t="shared" si="3"/>
        <v>-100</v>
      </c>
      <c r="U47" s="2">
        <v>232</v>
      </c>
    </row>
    <row r="48" spans="1:22" ht="39.75" customHeight="1" x14ac:dyDescent="0.2">
      <c r="A48" s="63" t="s">
        <v>74</v>
      </c>
      <c r="B48" s="65">
        <v>95858421.760000005</v>
      </c>
      <c r="C48" s="65">
        <v>60287207.880000003</v>
      </c>
      <c r="D48" s="65">
        <v>6529036.8399999999</v>
      </c>
      <c r="E48" s="65">
        <v>6570492.8799999999</v>
      </c>
      <c r="F48" s="66">
        <f t="shared" si="8"/>
        <v>169245159.36000001</v>
      </c>
      <c r="G48" s="67">
        <v>12</v>
      </c>
      <c r="H48" s="68" t="s">
        <v>75</v>
      </c>
      <c r="I48" s="64">
        <f t="shared" si="4"/>
        <v>14103763.280000001</v>
      </c>
      <c r="J48" s="294" t="s">
        <v>27</v>
      </c>
      <c r="K48" s="295"/>
      <c r="L48" s="295"/>
      <c r="M48" s="295"/>
      <c r="N48" s="295"/>
      <c r="O48" s="295"/>
      <c r="P48" s="295"/>
      <c r="Q48" s="296"/>
      <c r="R48" s="26">
        <f t="shared" si="2"/>
        <v>-100</v>
      </c>
      <c r="S48" s="27" t="e">
        <f t="shared" si="3"/>
        <v>#VALUE!</v>
      </c>
      <c r="T48" s="28">
        <f t="shared" si="3"/>
        <v>-100</v>
      </c>
      <c r="U48" s="2">
        <v>235</v>
      </c>
    </row>
    <row r="49" spans="1:21" s="69" customFormat="1" ht="47.25" x14ac:dyDescent="0.2">
      <c r="A49" s="42" t="s">
        <v>76</v>
      </c>
      <c r="B49" s="43">
        <v>77173059.310000002</v>
      </c>
      <c r="C49" s="43">
        <v>79891563.370000005</v>
      </c>
      <c r="D49" s="43">
        <v>11679809.17</v>
      </c>
      <c r="E49" s="43">
        <v>5224614.96</v>
      </c>
      <c r="F49" s="44">
        <f t="shared" si="8"/>
        <v>173969046.81</v>
      </c>
      <c r="G49" s="45">
        <v>4225463</v>
      </c>
      <c r="H49" s="46" t="s">
        <v>49</v>
      </c>
      <c r="I49" s="47">
        <f t="shared" si="4"/>
        <v>41.171593931836583</v>
      </c>
      <c r="J49" s="47">
        <v>69699006.563611999</v>
      </c>
      <c r="K49" s="47">
        <v>11317853.379139001</v>
      </c>
      <c r="L49" s="47">
        <v>5361337.6730810003</v>
      </c>
      <c r="M49" s="47">
        <v>4683723.8001860008</v>
      </c>
      <c r="N49" s="47">
        <f>SUM(J49:M49)</f>
        <v>91061921.416018009</v>
      </c>
      <c r="O49" s="47">
        <v>5189709</v>
      </c>
      <c r="P49" s="47" t="s">
        <v>49</v>
      </c>
      <c r="Q49" s="47">
        <f>N49/O49</f>
        <v>17.546633427041478</v>
      </c>
      <c r="R49" s="48">
        <f t="shared" si="2"/>
        <v>-47.656250875783016</v>
      </c>
      <c r="S49" s="49" t="e">
        <f t="shared" si="3"/>
        <v>#VALUE!</v>
      </c>
      <c r="T49" s="50">
        <f t="shared" si="3"/>
        <v>-57.381699974765212</v>
      </c>
      <c r="U49" s="69">
        <v>301</v>
      </c>
    </row>
    <row r="50" spans="1:21" ht="31.5" x14ac:dyDescent="0.2">
      <c r="A50" s="63" t="s">
        <v>77</v>
      </c>
      <c r="B50" s="65">
        <v>36229214.670000002</v>
      </c>
      <c r="C50" s="65">
        <v>4526031.96</v>
      </c>
      <c r="D50" s="65">
        <v>2235655.0699999998</v>
      </c>
      <c r="E50" s="65">
        <v>2034439.49</v>
      </c>
      <c r="F50" s="66">
        <f t="shared" si="8"/>
        <v>45025341.190000005</v>
      </c>
      <c r="G50" s="67">
        <v>19</v>
      </c>
      <c r="H50" s="68" t="s">
        <v>73</v>
      </c>
      <c r="I50" s="64">
        <f t="shared" si="4"/>
        <v>2369754.7994736843</v>
      </c>
      <c r="J50" s="294" t="s">
        <v>27</v>
      </c>
      <c r="K50" s="295"/>
      <c r="L50" s="295"/>
      <c r="M50" s="295"/>
      <c r="N50" s="295"/>
      <c r="O50" s="295"/>
      <c r="P50" s="295"/>
      <c r="Q50" s="296"/>
      <c r="R50" s="26">
        <f t="shared" si="2"/>
        <v>-100</v>
      </c>
      <c r="S50" s="27" t="e">
        <f t="shared" si="3"/>
        <v>#VALUE!</v>
      </c>
      <c r="T50" s="28">
        <f t="shared" si="3"/>
        <v>-100</v>
      </c>
      <c r="U50" s="2">
        <v>302</v>
      </c>
    </row>
    <row r="51" spans="1:21" ht="47.25" x14ac:dyDescent="0.2">
      <c r="A51" s="63" t="s">
        <v>78</v>
      </c>
      <c r="B51" s="65">
        <v>22551981.75</v>
      </c>
      <c r="C51" s="65">
        <v>9539292.7799999993</v>
      </c>
      <c r="D51" s="65">
        <v>908033.76</v>
      </c>
      <c r="E51" s="65">
        <v>912282.5</v>
      </c>
      <c r="F51" s="66">
        <f t="shared" si="8"/>
        <v>33911590.790000007</v>
      </c>
      <c r="G51" s="67">
        <v>77</v>
      </c>
      <c r="H51" s="68" t="s">
        <v>19</v>
      </c>
      <c r="I51" s="64">
        <f t="shared" si="4"/>
        <v>440410.27000000008</v>
      </c>
      <c r="J51" s="64">
        <v>55525883.563332997</v>
      </c>
      <c r="K51" s="64">
        <v>8971863.5569799989</v>
      </c>
      <c r="L51" s="64">
        <v>3111557.9592499998</v>
      </c>
      <c r="M51" s="64">
        <v>2618975.6294539995</v>
      </c>
      <c r="N51" s="64">
        <f t="shared" ref="N51:N56" si="9">SUM(J51:M51)</f>
        <v>70228280.709016994</v>
      </c>
      <c r="O51" s="64">
        <v>115</v>
      </c>
      <c r="P51" s="64" t="s">
        <v>19</v>
      </c>
      <c r="Q51" s="64">
        <f t="shared" ref="Q51:Q87" si="10">N51/O51</f>
        <v>610680.70181753905</v>
      </c>
      <c r="R51" s="26">
        <f t="shared" si="2"/>
        <v>107.09226277207323</v>
      </c>
      <c r="S51" s="27" t="e">
        <f t="shared" si="3"/>
        <v>#VALUE!</v>
      </c>
      <c r="T51" s="28">
        <f t="shared" si="3"/>
        <v>38.661775943040325</v>
      </c>
      <c r="U51" s="2">
        <v>303</v>
      </c>
    </row>
    <row r="52" spans="1:21" ht="47.25" x14ac:dyDescent="0.2">
      <c r="A52" s="63" t="s">
        <v>79</v>
      </c>
      <c r="B52" s="65">
        <v>36293623.890000001</v>
      </c>
      <c r="C52" s="65">
        <v>30579842.210000001</v>
      </c>
      <c r="D52" s="65">
        <v>1776764.07</v>
      </c>
      <c r="E52" s="65">
        <v>1601401.25</v>
      </c>
      <c r="F52" s="66">
        <f t="shared" si="8"/>
        <v>70251631.420000002</v>
      </c>
      <c r="G52" s="67">
        <v>2</v>
      </c>
      <c r="H52" s="68" t="s">
        <v>19</v>
      </c>
      <c r="I52" s="64">
        <f t="shared" si="4"/>
        <v>35125815.710000001</v>
      </c>
      <c r="J52" s="64">
        <v>33182969.591115002</v>
      </c>
      <c r="K52" s="64">
        <v>13357412.153413</v>
      </c>
      <c r="L52" s="64">
        <v>1674469.8545269999</v>
      </c>
      <c r="M52" s="64">
        <v>1449391.0313999997</v>
      </c>
      <c r="N52" s="64">
        <f t="shared" si="9"/>
        <v>49664242.630455002</v>
      </c>
      <c r="O52" s="64">
        <v>1</v>
      </c>
      <c r="P52" s="64" t="s">
        <v>19</v>
      </c>
      <c r="Q52" s="64">
        <f t="shared" si="10"/>
        <v>49664242.630455002</v>
      </c>
      <c r="R52" s="26">
        <f t="shared" si="2"/>
        <v>-29.305210958679538</v>
      </c>
      <c r="S52" s="27" t="e">
        <f t="shared" si="3"/>
        <v>#VALUE!</v>
      </c>
      <c r="T52" s="28">
        <f t="shared" si="3"/>
        <v>41.389578082640924</v>
      </c>
      <c r="U52" s="2">
        <v>304</v>
      </c>
    </row>
    <row r="53" spans="1:21" s="69" customFormat="1" ht="47.25" x14ac:dyDescent="0.2">
      <c r="A53" s="42" t="s">
        <v>80</v>
      </c>
      <c r="B53" s="43">
        <v>25877621.579999998</v>
      </c>
      <c r="C53" s="43">
        <v>8037461.4000000004</v>
      </c>
      <c r="D53" s="43">
        <v>1471573.6600000001</v>
      </c>
      <c r="E53" s="43">
        <v>1695489.78</v>
      </c>
      <c r="F53" s="44">
        <f t="shared" si="8"/>
        <v>37082146.420000002</v>
      </c>
      <c r="G53" s="70">
        <v>100314780</v>
      </c>
      <c r="H53" s="46" t="s">
        <v>56</v>
      </c>
      <c r="I53" s="47">
        <f t="shared" si="4"/>
        <v>0.36965785520339078</v>
      </c>
      <c r="J53" s="47">
        <v>14403525.126487</v>
      </c>
      <c r="K53" s="47">
        <v>2039602.5418790001</v>
      </c>
      <c r="L53" s="47">
        <v>836330.84026900004</v>
      </c>
      <c r="M53" s="47">
        <v>914432.47932699998</v>
      </c>
      <c r="N53" s="47">
        <f t="shared" si="9"/>
        <v>18193890.987962</v>
      </c>
      <c r="O53" s="44">
        <v>98580932</v>
      </c>
      <c r="P53" s="47" t="s">
        <v>56</v>
      </c>
      <c r="Q53" s="47">
        <f t="shared" si="10"/>
        <v>0.18455791215244344</v>
      </c>
      <c r="R53" s="48">
        <f t="shared" si="2"/>
        <v>-50.936251688631351</v>
      </c>
      <c r="S53" s="49" t="e">
        <f t="shared" si="3"/>
        <v>#VALUE!</v>
      </c>
      <c r="T53" s="50">
        <f t="shared" si="3"/>
        <v>-50.073315214444136</v>
      </c>
      <c r="U53" s="69">
        <v>305</v>
      </c>
    </row>
    <row r="54" spans="1:21" s="69" customFormat="1" x14ac:dyDescent="0.2">
      <c r="A54" s="42" t="s">
        <v>81</v>
      </c>
      <c r="B54" s="43">
        <v>13318170.779999999</v>
      </c>
      <c r="C54" s="43">
        <v>3534971.36</v>
      </c>
      <c r="D54" s="43">
        <v>255931.67</v>
      </c>
      <c r="E54" s="43">
        <v>310773.58</v>
      </c>
      <c r="F54" s="44">
        <f t="shared" si="8"/>
        <v>17419847.390000001</v>
      </c>
      <c r="G54" s="71">
        <v>1</v>
      </c>
      <c r="H54" s="46" t="s">
        <v>19</v>
      </c>
      <c r="I54" s="47">
        <f t="shared" si="4"/>
        <v>17419847.390000001</v>
      </c>
      <c r="J54" s="47">
        <v>12421138.617660999</v>
      </c>
      <c r="K54" s="47">
        <v>2103661.0198790003</v>
      </c>
      <c r="L54" s="47">
        <v>346969.44318000006</v>
      </c>
      <c r="M54" s="47">
        <v>313691.33933499997</v>
      </c>
      <c r="N54" s="47">
        <f t="shared" si="9"/>
        <v>15185460.420055</v>
      </c>
      <c r="O54" s="47">
        <v>2</v>
      </c>
      <c r="P54" s="47" t="s">
        <v>19</v>
      </c>
      <c r="Q54" s="47">
        <f t="shared" si="10"/>
        <v>7592730.2100275001</v>
      </c>
      <c r="R54" s="48">
        <f t="shared" si="2"/>
        <v>-12.826673620732565</v>
      </c>
      <c r="S54" s="49" t="e">
        <f t="shared" si="3"/>
        <v>#VALUE!</v>
      </c>
      <c r="T54" s="50">
        <f t="shared" si="3"/>
        <v>-56.413336810366275</v>
      </c>
      <c r="U54" s="69">
        <v>306</v>
      </c>
    </row>
    <row r="55" spans="1:21" ht="47.25" x14ac:dyDescent="0.2">
      <c r="A55" s="63" t="s">
        <v>82</v>
      </c>
      <c r="B55" s="65">
        <v>678863.76000000164</v>
      </c>
      <c r="C55" s="65">
        <v>1520685.2000000002</v>
      </c>
      <c r="D55" s="65">
        <v>642389.35</v>
      </c>
      <c r="E55" s="65">
        <v>606490.29</v>
      </c>
      <c r="F55" s="66">
        <f t="shared" si="8"/>
        <v>3448428.600000002</v>
      </c>
      <c r="G55" s="67">
        <v>68</v>
      </c>
      <c r="H55" s="68" t="s">
        <v>19</v>
      </c>
      <c r="I55" s="64">
        <f t="shared" si="4"/>
        <v>50712.185294117677</v>
      </c>
      <c r="J55" s="64">
        <v>16283413.524737999</v>
      </c>
      <c r="K55" s="64">
        <v>3166872.2874949998</v>
      </c>
      <c r="L55" s="64">
        <v>640622.22294499993</v>
      </c>
      <c r="M55" s="64">
        <v>510730.413398</v>
      </c>
      <c r="N55" s="64">
        <f t="shared" si="9"/>
        <v>20601638.448576</v>
      </c>
      <c r="O55" s="64">
        <v>289</v>
      </c>
      <c r="P55" s="64" t="s">
        <v>49</v>
      </c>
      <c r="Q55" s="64">
        <f t="shared" si="10"/>
        <v>71285.946188844289</v>
      </c>
      <c r="R55" s="26">
        <f t="shared" si="2"/>
        <v>497.4210528405892</v>
      </c>
      <c r="S55" s="27" t="e">
        <f t="shared" si="3"/>
        <v>#VALUE!</v>
      </c>
      <c r="T55" s="28">
        <f t="shared" si="3"/>
        <v>40.569659491903323</v>
      </c>
      <c r="U55" s="2">
        <v>307</v>
      </c>
    </row>
    <row r="56" spans="1:21" ht="47.25" x14ac:dyDescent="0.2">
      <c r="A56" s="63" t="s">
        <v>83</v>
      </c>
      <c r="B56" s="65">
        <v>15364112.17</v>
      </c>
      <c r="C56" s="65">
        <v>894294.78</v>
      </c>
      <c r="D56" s="65">
        <v>542463.51</v>
      </c>
      <c r="E56" s="65">
        <v>572395.85</v>
      </c>
      <c r="F56" s="66">
        <f t="shared" si="8"/>
        <v>17373266.310000002</v>
      </c>
      <c r="G56" s="72">
        <v>12</v>
      </c>
      <c r="H56" s="68" t="s">
        <v>84</v>
      </c>
      <c r="I56" s="64">
        <f t="shared" si="4"/>
        <v>1447772.1925000001</v>
      </c>
      <c r="J56" s="64">
        <v>14336517.043372001</v>
      </c>
      <c r="K56" s="64">
        <v>846364.72884699993</v>
      </c>
      <c r="L56" s="64">
        <v>607807.02101199992</v>
      </c>
      <c r="M56" s="64">
        <v>467771.47292000003</v>
      </c>
      <c r="N56" s="64">
        <f t="shared" si="9"/>
        <v>16258460.266151004</v>
      </c>
      <c r="O56" s="64">
        <v>14</v>
      </c>
      <c r="P56" s="64" t="s">
        <v>84</v>
      </c>
      <c r="Q56" s="64">
        <f t="shared" si="10"/>
        <v>1161318.5904393573</v>
      </c>
      <c r="R56" s="26">
        <f t="shared" si="2"/>
        <v>-6.4167901645951266</v>
      </c>
      <c r="S56" s="27" t="e">
        <f t="shared" si="3"/>
        <v>#VALUE!</v>
      </c>
      <c r="T56" s="28">
        <f t="shared" si="3"/>
        <v>-19.785820141081537</v>
      </c>
      <c r="U56" s="2">
        <v>308</v>
      </c>
    </row>
    <row r="57" spans="1:21" x14ac:dyDescent="0.2">
      <c r="A57" s="63" t="s">
        <v>85</v>
      </c>
      <c r="B57" s="65">
        <v>190584.4299999997</v>
      </c>
      <c r="C57" s="65">
        <v>108390.50999999978</v>
      </c>
      <c r="D57" s="65">
        <v>113947.47999999998</v>
      </c>
      <c r="E57" s="65">
        <v>99256.579999999958</v>
      </c>
      <c r="F57" s="66">
        <f t="shared" si="8"/>
        <v>512178.99999999942</v>
      </c>
      <c r="G57" s="67">
        <v>1</v>
      </c>
      <c r="H57" s="68" t="s">
        <v>19</v>
      </c>
      <c r="I57" s="64">
        <f t="shared" si="4"/>
        <v>512178.99999999942</v>
      </c>
      <c r="J57" s="294" t="s">
        <v>27</v>
      </c>
      <c r="K57" s="295"/>
      <c r="L57" s="295"/>
      <c r="M57" s="295"/>
      <c r="N57" s="295"/>
      <c r="O57" s="295"/>
      <c r="P57" s="295"/>
      <c r="Q57" s="296"/>
      <c r="R57" s="26">
        <f t="shared" si="2"/>
        <v>-100</v>
      </c>
      <c r="S57" s="27" t="e">
        <f t="shared" si="3"/>
        <v>#VALUE!</v>
      </c>
      <c r="T57" s="28">
        <f t="shared" si="3"/>
        <v>-100</v>
      </c>
      <c r="U57" s="2">
        <v>309</v>
      </c>
    </row>
    <row r="58" spans="1:21" ht="31.5" x14ac:dyDescent="0.2">
      <c r="A58" s="63" t="s">
        <v>86</v>
      </c>
      <c r="B58" s="65">
        <v>1317427.7699999809</v>
      </c>
      <c r="C58" s="65">
        <v>3298385.8299999833</v>
      </c>
      <c r="D58" s="65">
        <v>1321780.9800000004</v>
      </c>
      <c r="E58" s="65">
        <v>582860.43000000715</v>
      </c>
      <c r="F58" s="66">
        <f t="shared" si="8"/>
        <v>6520455.0099999718</v>
      </c>
      <c r="G58" s="72">
        <v>8</v>
      </c>
      <c r="H58" s="68" t="s">
        <v>19</v>
      </c>
      <c r="I58" s="64">
        <f t="shared" si="4"/>
        <v>815056.87624999648</v>
      </c>
      <c r="J58" s="294" t="s">
        <v>27</v>
      </c>
      <c r="K58" s="295"/>
      <c r="L58" s="295"/>
      <c r="M58" s="295"/>
      <c r="N58" s="295"/>
      <c r="O58" s="295"/>
      <c r="P58" s="295"/>
      <c r="Q58" s="296"/>
      <c r="R58" s="26">
        <f t="shared" si="2"/>
        <v>-100</v>
      </c>
      <c r="S58" s="27" t="e">
        <f t="shared" si="3"/>
        <v>#VALUE!</v>
      </c>
      <c r="T58" s="28">
        <f t="shared" si="3"/>
        <v>-100</v>
      </c>
      <c r="U58" s="2">
        <v>310</v>
      </c>
    </row>
    <row r="59" spans="1:21" ht="63" x14ac:dyDescent="0.2">
      <c r="A59" s="63" t="s">
        <v>87</v>
      </c>
      <c r="B59" s="65">
        <v>430105484.01999998</v>
      </c>
      <c r="C59" s="65">
        <v>532567477.00999999</v>
      </c>
      <c r="D59" s="65">
        <v>28541001.710000001</v>
      </c>
      <c r="E59" s="65">
        <v>106642775.73999999</v>
      </c>
      <c r="F59" s="66">
        <f t="shared" si="8"/>
        <v>1097856738.48</v>
      </c>
      <c r="G59" s="73">
        <v>284055</v>
      </c>
      <c r="H59" s="74" t="s">
        <v>49</v>
      </c>
      <c r="I59" s="64">
        <f t="shared" si="4"/>
        <v>3864.9442484025981</v>
      </c>
      <c r="J59" s="64">
        <v>390176300.71053201</v>
      </c>
      <c r="K59" s="64">
        <v>554467380.31352592</v>
      </c>
      <c r="L59" s="64">
        <v>8486818.697532</v>
      </c>
      <c r="M59" s="64">
        <v>101552028.979846</v>
      </c>
      <c r="N59" s="64">
        <f>SUM(J59:M59)</f>
        <v>1054682528.7014359</v>
      </c>
      <c r="O59" s="64">
        <v>277985</v>
      </c>
      <c r="P59" s="64" t="s">
        <v>49</v>
      </c>
      <c r="Q59" s="64">
        <f t="shared" si="10"/>
        <v>3794.026759362685</v>
      </c>
      <c r="R59" s="26">
        <f t="shared" si="2"/>
        <v>-3.9325904979496209</v>
      </c>
      <c r="S59" s="27" t="e">
        <f t="shared" si="3"/>
        <v>#VALUE!</v>
      </c>
      <c r="T59" s="28">
        <f t="shared" si="3"/>
        <v>-1.834890349821312</v>
      </c>
      <c r="U59" s="2">
        <v>401</v>
      </c>
    </row>
    <row r="60" spans="1:21" s="60" customFormat="1" ht="63" x14ac:dyDescent="0.2">
      <c r="A60" s="30" t="s">
        <v>88</v>
      </c>
      <c r="B60" s="31">
        <v>17139960.890000001</v>
      </c>
      <c r="C60" s="31">
        <v>2913192</v>
      </c>
      <c r="D60" s="31">
        <v>283197.59000000003</v>
      </c>
      <c r="E60" s="31">
        <v>591903.97</v>
      </c>
      <c r="F60" s="32">
        <f t="shared" si="8"/>
        <v>20928254.449999999</v>
      </c>
      <c r="G60" s="57">
        <v>1773</v>
      </c>
      <c r="H60" s="58" t="s">
        <v>29</v>
      </c>
      <c r="I60" s="35">
        <f t="shared" si="4"/>
        <v>11803.866018048506</v>
      </c>
      <c r="J60" s="35">
        <v>3759911.6335619995</v>
      </c>
      <c r="K60" s="35">
        <v>1821588.015528</v>
      </c>
      <c r="L60" s="35">
        <v>278238.21805099997</v>
      </c>
      <c r="M60" s="35">
        <v>585756.72804200009</v>
      </c>
      <c r="N60" s="35">
        <f t="shared" ref="N60:N71" si="11">SUM(J60:M60)</f>
        <v>6445494.595182999</v>
      </c>
      <c r="O60" s="35">
        <v>1845</v>
      </c>
      <c r="P60" s="58" t="s">
        <v>29</v>
      </c>
      <c r="Q60" s="35">
        <f t="shared" si="10"/>
        <v>3493.4930055192408</v>
      </c>
      <c r="R60" s="36">
        <f t="shared" si="2"/>
        <v>-69.201948444472393</v>
      </c>
      <c r="S60" s="37" t="e">
        <f t="shared" si="3"/>
        <v>#VALUE!</v>
      </c>
      <c r="T60" s="38">
        <f t="shared" si="3"/>
        <v>-70.403823627127124</v>
      </c>
      <c r="U60" s="60">
        <v>402</v>
      </c>
    </row>
    <row r="61" spans="1:21" ht="63" x14ac:dyDescent="0.2">
      <c r="A61" s="63" t="s">
        <v>89</v>
      </c>
      <c r="B61" s="65">
        <v>9417026.8800000008</v>
      </c>
      <c r="C61" s="65">
        <v>4236676.5</v>
      </c>
      <c r="D61" s="65">
        <v>632070.46</v>
      </c>
      <c r="E61" s="65">
        <v>1352198.14</v>
      </c>
      <c r="F61" s="66">
        <f t="shared" si="8"/>
        <v>15637971.98</v>
      </c>
      <c r="G61" s="67">
        <v>20</v>
      </c>
      <c r="H61" s="68" t="s">
        <v>38</v>
      </c>
      <c r="I61" s="64">
        <f t="shared" si="4"/>
        <v>781898.59900000005</v>
      </c>
      <c r="J61" s="64">
        <v>8744414.801004</v>
      </c>
      <c r="K61" s="64">
        <v>4116901.2986610006</v>
      </c>
      <c r="L61" s="64">
        <v>632255.89120900002</v>
      </c>
      <c r="M61" s="64">
        <v>1337424.6362679999</v>
      </c>
      <c r="N61" s="64">
        <f t="shared" si="11"/>
        <v>14830996.627142001</v>
      </c>
      <c r="O61" s="64">
        <v>20</v>
      </c>
      <c r="P61" s="64" t="s">
        <v>38</v>
      </c>
      <c r="Q61" s="64">
        <f t="shared" si="10"/>
        <v>741549.83135710005</v>
      </c>
      <c r="R61" s="26">
        <f t="shared" si="2"/>
        <v>-5.1603580943236826</v>
      </c>
      <c r="S61" s="27" t="e">
        <f t="shared" si="3"/>
        <v>#VALUE!</v>
      </c>
      <c r="T61" s="28">
        <f t="shared" si="3"/>
        <v>-5.1603580943236853</v>
      </c>
      <c r="U61" s="2">
        <v>403</v>
      </c>
    </row>
    <row r="62" spans="1:21" ht="63" x14ac:dyDescent="0.2">
      <c r="A62" s="63" t="s">
        <v>90</v>
      </c>
      <c r="B62" s="65">
        <v>63161459.399999999</v>
      </c>
      <c r="C62" s="65">
        <v>29689453.25</v>
      </c>
      <c r="D62" s="65">
        <v>4157934.03</v>
      </c>
      <c r="E62" s="65">
        <v>9481840.4000000004</v>
      </c>
      <c r="F62" s="66">
        <f t="shared" si="8"/>
        <v>106490687.08000001</v>
      </c>
      <c r="G62" s="67">
        <v>8</v>
      </c>
      <c r="H62" s="68" t="s">
        <v>32</v>
      </c>
      <c r="I62" s="64">
        <f t="shared" si="4"/>
        <v>13311335.885000002</v>
      </c>
      <c r="J62" s="64">
        <v>127430364.434974</v>
      </c>
      <c r="K62" s="64">
        <v>41934791.091442004</v>
      </c>
      <c r="L62" s="64">
        <v>8966996.4144259989</v>
      </c>
      <c r="M62" s="64">
        <v>13468968.601451</v>
      </c>
      <c r="N62" s="64">
        <f t="shared" si="11"/>
        <v>191801120.54229301</v>
      </c>
      <c r="O62" s="64">
        <v>12</v>
      </c>
      <c r="P62" s="68" t="s">
        <v>32</v>
      </c>
      <c r="Q62" s="64">
        <f t="shared" si="10"/>
        <v>15983426.711857751</v>
      </c>
      <c r="R62" s="26">
        <f t="shared" si="2"/>
        <v>80.110698692557435</v>
      </c>
      <c r="S62" s="27" t="e">
        <f t="shared" si="3"/>
        <v>#VALUE!</v>
      </c>
      <c r="T62" s="28">
        <f t="shared" si="3"/>
        <v>20.073799128371622</v>
      </c>
      <c r="U62" s="2">
        <v>404</v>
      </c>
    </row>
    <row r="63" spans="1:21" ht="47.25" x14ac:dyDescent="0.2">
      <c r="A63" s="63" t="s">
        <v>91</v>
      </c>
      <c r="B63" s="65">
        <v>135428736.00999999</v>
      </c>
      <c r="C63" s="65">
        <v>38976211.780000001</v>
      </c>
      <c r="D63" s="65">
        <v>11240935.609999999</v>
      </c>
      <c r="E63" s="65">
        <v>8432052.2699999996</v>
      </c>
      <c r="F63" s="66">
        <f t="shared" si="8"/>
        <v>194077935.66999999</v>
      </c>
      <c r="G63" s="67">
        <v>1550060</v>
      </c>
      <c r="H63" s="68" t="s">
        <v>49</v>
      </c>
      <c r="I63" s="64">
        <f t="shared" si="4"/>
        <v>125.20672468807658</v>
      </c>
      <c r="J63" s="64">
        <v>78262971.341298997</v>
      </c>
      <c r="K63" s="64">
        <v>107470400.22626799</v>
      </c>
      <c r="L63" s="64">
        <v>5641003.1685800003</v>
      </c>
      <c r="M63" s="64">
        <v>4275891.0944039999</v>
      </c>
      <c r="N63" s="64">
        <f t="shared" si="11"/>
        <v>195650265.830551</v>
      </c>
      <c r="O63" s="64">
        <v>1660329</v>
      </c>
      <c r="P63" s="64" t="s">
        <v>49</v>
      </c>
      <c r="Q63" s="64">
        <f t="shared" si="10"/>
        <v>117.83825123246717</v>
      </c>
      <c r="R63" s="26">
        <f t="shared" si="2"/>
        <v>0.81015400082599798</v>
      </c>
      <c r="S63" s="27" t="e">
        <f t="shared" si="3"/>
        <v>#VALUE!</v>
      </c>
      <c r="T63" s="28">
        <f t="shared" si="3"/>
        <v>-5.8850460899494346</v>
      </c>
      <c r="U63" s="2">
        <v>501</v>
      </c>
    </row>
    <row r="64" spans="1:21" ht="31.5" x14ac:dyDescent="0.2">
      <c r="A64" s="63" t="s">
        <v>92</v>
      </c>
      <c r="B64" s="65">
        <v>47715500.259999998</v>
      </c>
      <c r="C64" s="65">
        <v>12651865.98</v>
      </c>
      <c r="D64" s="65">
        <v>3998111.35</v>
      </c>
      <c r="E64" s="65">
        <v>3207676.98</v>
      </c>
      <c r="F64" s="66">
        <f t="shared" si="8"/>
        <v>67573154.569999993</v>
      </c>
      <c r="G64" s="67">
        <v>100</v>
      </c>
      <c r="H64" s="68" t="s">
        <v>49</v>
      </c>
      <c r="I64" s="64">
        <f t="shared" si="4"/>
        <v>675731.5456999999</v>
      </c>
      <c r="J64" s="64">
        <v>46027934.716726996</v>
      </c>
      <c r="K64" s="64">
        <v>9887125.1194739994</v>
      </c>
      <c r="L64" s="64">
        <v>3593472.396129</v>
      </c>
      <c r="M64" s="64">
        <v>2854867.8201560001</v>
      </c>
      <c r="N64" s="64">
        <f t="shared" si="11"/>
        <v>62363400.052485995</v>
      </c>
      <c r="O64" s="64">
        <v>122</v>
      </c>
      <c r="P64" s="64" t="s">
        <v>49</v>
      </c>
      <c r="Q64" s="64">
        <f t="shared" si="10"/>
        <v>511175.41026627866</v>
      </c>
      <c r="R64" s="26">
        <f t="shared" si="2"/>
        <v>-7.7097991808524187</v>
      </c>
      <c r="S64" s="27" t="e">
        <f t="shared" si="3"/>
        <v>#VALUE!</v>
      </c>
      <c r="T64" s="28">
        <f t="shared" si="3"/>
        <v>-24.352294410534764</v>
      </c>
      <c r="U64" s="2">
        <v>502</v>
      </c>
    </row>
    <row r="65" spans="1:22" ht="31.5" x14ac:dyDescent="0.2">
      <c r="A65" s="63" t="s">
        <v>93</v>
      </c>
      <c r="B65" s="65">
        <v>25178474.780000001</v>
      </c>
      <c r="C65" s="65">
        <v>6802000.5</v>
      </c>
      <c r="D65" s="65">
        <v>1565052.27</v>
      </c>
      <c r="E65" s="65">
        <v>1779189.46</v>
      </c>
      <c r="F65" s="66">
        <f t="shared" si="8"/>
        <v>35324717.009999998</v>
      </c>
      <c r="G65" s="67">
        <v>10000</v>
      </c>
      <c r="H65" s="68" t="s">
        <v>49</v>
      </c>
      <c r="I65" s="64">
        <f t="shared" si="4"/>
        <v>3532.4717009999999</v>
      </c>
      <c r="J65" s="64">
        <v>24320069.568696</v>
      </c>
      <c r="K65" s="64">
        <v>3720671.5987850004</v>
      </c>
      <c r="L65" s="64">
        <v>1777582.773331</v>
      </c>
      <c r="M65" s="64">
        <v>1586397.770145</v>
      </c>
      <c r="N65" s="64">
        <f t="shared" si="11"/>
        <v>31404721.710957002</v>
      </c>
      <c r="O65" s="64">
        <v>12965</v>
      </c>
      <c r="P65" s="64" t="s">
        <v>49</v>
      </c>
      <c r="Q65" s="64">
        <f t="shared" si="10"/>
        <v>2422.2693182381026</v>
      </c>
      <c r="R65" s="26">
        <f t="shared" si="2"/>
        <v>-11.097032420481368</v>
      </c>
      <c r="S65" s="27" t="e">
        <f t="shared" si="3"/>
        <v>#VALUE!</v>
      </c>
      <c r="T65" s="28">
        <f t="shared" si="3"/>
        <v>-31.428486247960951</v>
      </c>
      <c r="U65" s="2">
        <v>503</v>
      </c>
      <c r="V65" s="75"/>
    </row>
    <row r="66" spans="1:22" ht="47.25" x14ac:dyDescent="0.2">
      <c r="A66" s="63" t="s">
        <v>94</v>
      </c>
      <c r="B66" s="65">
        <v>13356028.880000001</v>
      </c>
      <c r="C66" s="65">
        <v>2398998.36</v>
      </c>
      <c r="D66" s="65">
        <v>1053568.33</v>
      </c>
      <c r="E66" s="65">
        <v>808939.66</v>
      </c>
      <c r="F66" s="66">
        <f t="shared" si="8"/>
        <v>17617535.23</v>
      </c>
      <c r="G66" s="67">
        <v>1</v>
      </c>
      <c r="H66" s="68" t="s">
        <v>19</v>
      </c>
      <c r="I66" s="64">
        <f t="shared" si="4"/>
        <v>17617535.23</v>
      </c>
      <c r="J66" s="64">
        <v>12843527.521205999</v>
      </c>
      <c r="K66" s="64">
        <v>1837966.58406</v>
      </c>
      <c r="L66" s="64">
        <v>942347.79551299987</v>
      </c>
      <c r="M66" s="64">
        <v>731089.97045499994</v>
      </c>
      <c r="N66" s="64">
        <f t="shared" si="11"/>
        <v>16354931.871234</v>
      </c>
      <c r="O66" s="64">
        <v>1</v>
      </c>
      <c r="P66" s="64" t="s">
        <v>19</v>
      </c>
      <c r="Q66" s="64">
        <f t="shared" si="10"/>
        <v>16354931.871234</v>
      </c>
      <c r="R66" s="26">
        <f t="shared" si="2"/>
        <v>-7.1667423523352909</v>
      </c>
      <c r="S66" s="27" t="e">
        <f t="shared" si="3"/>
        <v>#VALUE!</v>
      </c>
      <c r="T66" s="28">
        <f t="shared" si="3"/>
        <v>-7.1667423523352909</v>
      </c>
      <c r="U66" s="2">
        <v>504</v>
      </c>
    </row>
    <row r="67" spans="1:22" ht="31.5" x14ac:dyDescent="0.2">
      <c r="A67" s="63" t="s">
        <v>95</v>
      </c>
      <c r="B67" s="65">
        <v>29131519.170000002</v>
      </c>
      <c r="C67" s="65">
        <v>15085488.26</v>
      </c>
      <c r="D67" s="65">
        <v>2432327.98</v>
      </c>
      <c r="E67" s="65">
        <v>1704905.92</v>
      </c>
      <c r="F67" s="66">
        <f t="shared" si="8"/>
        <v>48354241.329999998</v>
      </c>
      <c r="G67" s="67">
        <v>1</v>
      </c>
      <c r="H67" s="68" t="s">
        <v>19</v>
      </c>
      <c r="I67" s="64">
        <f t="shared" si="4"/>
        <v>48354241.329999998</v>
      </c>
      <c r="J67" s="64">
        <v>27707236.664516997</v>
      </c>
      <c r="K67" s="64">
        <v>8378827.4995129993</v>
      </c>
      <c r="L67" s="64">
        <v>2102998.5596529995</v>
      </c>
      <c r="M67" s="64">
        <v>1569507.1210670001</v>
      </c>
      <c r="N67" s="64">
        <f t="shared" si="11"/>
        <v>39758569.844749995</v>
      </c>
      <c r="O67" s="64">
        <v>1</v>
      </c>
      <c r="P67" s="64" t="s">
        <v>19</v>
      </c>
      <c r="Q67" s="64">
        <f t="shared" si="10"/>
        <v>39758569.844749995</v>
      </c>
      <c r="R67" s="26">
        <f t="shared" si="2"/>
        <v>-17.776458173726049</v>
      </c>
      <c r="S67" s="27" t="e">
        <f t="shared" si="3"/>
        <v>#VALUE!</v>
      </c>
      <c r="T67" s="28">
        <f t="shared" si="3"/>
        <v>-17.776458173726049</v>
      </c>
      <c r="U67" s="2">
        <v>505</v>
      </c>
    </row>
    <row r="68" spans="1:22" ht="63" x14ac:dyDescent="0.2">
      <c r="A68" s="63" t="s">
        <v>96</v>
      </c>
      <c r="B68" s="65">
        <v>4924845.2300000004</v>
      </c>
      <c r="C68" s="65">
        <v>31707889.690000001</v>
      </c>
      <c r="D68" s="65">
        <v>377805.51</v>
      </c>
      <c r="E68" s="65">
        <v>303547.81</v>
      </c>
      <c r="F68" s="66">
        <f t="shared" si="8"/>
        <v>37314088.240000002</v>
      </c>
      <c r="G68" s="67">
        <v>20</v>
      </c>
      <c r="H68" s="68" t="s">
        <v>38</v>
      </c>
      <c r="I68" s="64">
        <f t="shared" si="4"/>
        <v>1865704.412</v>
      </c>
      <c r="J68" s="64">
        <v>18600987.789326001</v>
      </c>
      <c r="K68" s="64">
        <v>13568416.416873001</v>
      </c>
      <c r="L68" s="64">
        <v>3365421.3560489998</v>
      </c>
      <c r="M68" s="64">
        <v>262723.98414900003</v>
      </c>
      <c r="N68" s="64">
        <f t="shared" si="11"/>
        <v>35797549.546397001</v>
      </c>
      <c r="O68" s="64">
        <v>14</v>
      </c>
      <c r="P68" s="64" t="s">
        <v>38</v>
      </c>
      <c r="Q68" s="64">
        <f t="shared" si="10"/>
        <v>2556967.8247426427</v>
      </c>
      <c r="R68" s="26">
        <f t="shared" si="2"/>
        <v>-4.0642523109469968</v>
      </c>
      <c r="S68" s="27" t="e">
        <f t="shared" si="3"/>
        <v>#VALUE!</v>
      </c>
      <c r="T68" s="28">
        <f t="shared" si="3"/>
        <v>37.051068127218571</v>
      </c>
      <c r="U68" s="2">
        <v>506</v>
      </c>
    </row>
    <row r="69" spans="1:22" ht="31.5" x14ac:dyDescent="0.2">
      <c r="A69" s="63" t="s">
        <v>97</v>
      </c>
      <c r="B69" s="65">
        <v>379463</v>
      </c>
      <c r="C69" s="65">
        <v>1766820.5899999999</v>
      </c>
      <c r="D69" s="65">
        <v>403852.6</v>
      </c>
      <c r="E69" s="65">
        <v>355322.21</v>
      </c>
      <c r="F69" s="66">
        <f t="shared" si="8"/>
        <v>2905458.4</v>
      </c>
      <c r="G69" s="67">
        <v>1</v>
      </c>
      <c r="H69" s="68" t="s">
        <v>19</v>
      </c>
      <c r="I69" s="64">
        <f t="shared" si="4"/>
        <v>2905458.4</v>
      </c>
      <c r="J69" s="64">
        <v>9305953.1487499997</v>
      </c>
      <c r="K69" s="64">
        <v>2580700.6718000001</v>
      </c>
      <c r="L69" s="64">
        <v>403023.43757399998</v>
      </c>
      <c r="M69" s="64">
        <v>289754.86955300003</v>
      </c>
      <c r="N69" s="64">
        <f t="shared" si="11"/>
        <v>12579432.127676999</v>
      </c>
      <c r="O69" s="64">
        <v>3</v>
      </c>
      <c r="P69" s="64" t="s">
        <v>19</v>
      </c>
      <c r="Q69" s="64">
        <f t="shared" si="10"/>
        <v>4193144.0425589997</v>
      </c>
      <c r="R69" s="26">
        <f t="shared" si="2"/>
        <v>332.95860397371371</v>
      </c>
      <c r="S69" s="27" t="e">
        <f t="shared" si="3"/>
        <v>#VALUE!</v>
      </c>
      <c r="T69" s="28">
        <f t="shared" si="3"/>
        <v>44.319534657904583</v>
      </c>
      <c r="U69" s="2">
        <v>507</v>
      </c>
    </row>
    <row r="70" spans="1:22" s="60" customFormat="1" ht="31.5" x14ac:dyDescent="0.2">
      <c r="A70" s="30" t="s">
        <v>98</v>
      </c>
      <c r="B70" s="31">
        <v>60944820.560000002</v>
      </c>
      <c r="C70" s="31">
        <v>25482434.859999999</v>
      </c>
      <c r="D70" s="31">
        <v>2135175.9900000002</v>
      </c>
      <c r="E70" s="31">
        <v>2429350.0700000003</v>
      </c>
      <c r="F70" s="32">
        <f t="shared" si="8"/>
        <v>90991781.479999989</v>
      </c>
      <c r="G70" s="57">
        <v>2</v>
      </c>
      <c r="H70" s="76" t="s">
        <v>56</v>
      </c>
      <c r="I70" s="35">
        <f t="shared" si="4"/>
        <v>45495890.739999995</v>
      </c>
      <c r="J70" s="35">
        <v>22486729.0328</v>
      </c>
      <c r="K70" s="35">
        <v>4047598.2678339998</v>
      </c>
      <c r="L70" s="35">
        <v>1387071.613106</v>
      </c>
      <c r="M70" s="35">
        <v>1147705.1275860001</v>
      </c>
      <c r="N70" s="35">
        <f t="shared" si="11"/>
        <v>29069104.041326001</v>
      </c>
      <c r="O70" s="35">
        <v>2</v>
      </c>
      <c r="P70" s="35" t="s">
        <v>56</v>
      </c>
      <c r="Q70" s="35">
        <f t="shared" si="10"/>
        <v>14534552.020663001</v>
      </c>
      <c r="R70" s="36">
        <f t="shared" si="2"/>
        <v>-68.053044386524746</v>
      </c>
      <c r="S70" s="37" t="e">
        <f t="shared" si="3"/>
        <v>#VALUE!</v>
      </c>
      <c r="T70" s="38">
        <f t="shared" si="3"/>
        <v>-68.053044386524746</v>
      </c>
      <c r="U70" s="60">
        <v>508</v>
      </c>
    </row>
    <row r="71" spans="1:22" ht="47.25" x14ac:dyDescent="0.2">
      <c r="A71" s="63" t="s">
        <v>99</v>
      </c>
      <c r="B71" s="65">
        <v>1647787.62</v>
      </c>
      <c r="C71" s="65">
        <v>262133.83000000007</v>
      </c>
      <c r="D71" s="65">
        <v>293156.82</v>
      </c>
      <c r="E71" s="65">
        <v>318996.59000000003</v>
      </c>
      <c r="F71" s="66">
        <f t="shared" si="8"/>
        <v>2522074.86</v>
      </c>
      <c r="G71" s="67">
        <v>1</v>
      </c>
      <c r="H71" s="77" t="s">
        <v>100</v>
      </c>
      <c r="I71" s="64">
        <f t="shared" si="4"/>
        <v>2522074.86</v>
      </c>
      <c r="J71" s="64">
        <v>4491304.0082019996</v>
      </c>
      <c r="K71" s="64">
        <v>964399.68219299987</v>
      </c>
      <c r="L71" s="64">
        <v>294255.37092700001</v>
      </c>
      <c r="M71" s="64">
        <v>565715.00475600001</v>
      </c>
      <c r="N71" s="64">
        <f t="shared" si="11"/>
        <v>6315674.0660779998</v>
      </c>
      <c r="O71" s="64">
        <v>5</v>
      </c>
      <c r="P71" s="64" t="s">
        <v>100</v>
      </c>
      <c r="Q71" s="64">
        <f t="shared" si="10"/>
        <v>1263134.8132155999</v>
      </c>
      <c r="R71" s="26">
        <f t="shared" ref="R71:R134" si="12">(N71-F71)/F71*100</f>
        <v>150.41580510730756</v>
      </c>
      <c r="S71" s="27" t="e">
        <f t="shared" ref="S71:T134" si="13">(P71-H71)/H71*100</f>
        <v>#VALUE!</v>
      </c>
      <c r="T71" s="28">
        <f t="shared" si="13"/>
        <v>-49.916838978538493</v>
      </c>
      <c r="U71" s="2">
        <v>509</v>
      </c>
    </row>
    <row r="72" spans="1:22" ht="31.5" x14ac:dyDescent="0.2">
      <c r="A72" s="63" t="s">
        <v>101</v>
      </c>
      <c r="B72" s="65">
        <v>11684355.57</v>
      </c>
      <c r="C72" s="65">
        <v>1471989.97</v>
      </c>
      <c r="D72" s="65">
        <v>776396.85</v>
      </c>
      <c r="E72" s="65">
        <v>492645.78</v>
      </c>
      <c r="F72" s="66">
        <f t="shared" si="8"/>
        <v>14425388.17</v>
      </c>
      <c r="G72" s="67">
        <v>2</v>
      </c>
      <c r="H72" s="77" t="s">
        <v>100</v>
      </c>
      <c r="I72" s="64">
        <f t="shared" si="4"/>
        <v>7212694.085</v>
      </c>
      <c r="J72" s="294" t="s">
        <v>27</v>
      </c>
      <c r="K72" s="295"/>
      <c r="L72" s="295"/>
      <c r="M72" s="295"/>
      <c r="N72" s="295"/>
      <c r="O72" s="295"/>
      <c r="P72" s="295"/>
      <c r="Q72" s="296"/>
      <c r="R72" s="26">
        <f t="shared" si="12"/>
        <v>-100</v>
      </c>
      <c r="S72" s="27" t="e">
        <f t="shared" si="13"/>
        <v>#VALUE!</v>
      </c>
      <c r="T72" s="28">
        <f t="shared" si="13"/>
        <v>-100</v>
      </c>
      <c r="U72" s="2">
        <v>510</v>
      </c>
    </row>
    <row r="73" spans="1:22" ht="31.5" x14ac:dyDescent="0.2">
      <c r="A73" s="63" t="s">
        <v>102</v>
      </c>
      <c r="B73" s="65">
        <v>11015297.380000001</v>
      </c>
      <c r="C73" s="65">
        <v>1644287.52</v>
      </c>
      <c r="D73" s="65">
        <v>896716.42</v>
      </c>
      <c r="E73" s="65">
        <v>648225.16</v>
      </c>
      <c r="F73" s="66">
        <f t="shared" si="8"/>
        <v>14204526.48</v>
      </c>
      <c r="G73" s="67">
        <v>1</v>
      </c>
      <c r="H73" s="77" t="s">
        <v>19</v>
      </c>
      <c r="I73" s="64">
        <f t="shared" si="4"/>
        <v>14204526.48</v>
      </c>
      <c r="J73" s="64">
        <v>8274557.996983001</v>
      </c>
      <c r="K73" s="64">
        <v>479822.70620699995</v>
      </c>
      <c r="L73" s="64">
        <v>653695.55379100004</v>
      </c>
      <c r="M73" s="64">
        <v>433883.31197599997</v>
      </c>
      <c r="N73" s="64">
        <f>SUM(J73:M73)</f>
        <v>9841959.568957001</v>
      </c>
      <c r="O73" s="64">
        <v>1</v>
      </c>
      <c r="P73" s="64" t="s">
        <v>19</v>
      </c>
      <c r="Q73" s="64">
        <f t="shared" si="10"/>
        <v>9841959.568957001</v>
      </c>
      <c r="R73" s="26">
        <f t="shared" si="12"/>
        <v>-30.71251207976205</v>
      </c>
      <c r="S73" s="27" t="e">
        <f t="shared" si="13"/>
        <v>#VALUE!</v>
      </c>
      <c r="T73" s="28">
        <f t="shared" si="13"/>
        <v>-30.71251207976205</v>
      </c>
      <c r="U73" s="2">
        <v>511</v>
      </c>
    </row>
    <row r="74" spans="1:22" ht="47.25" x14ac:dyDescent="0.2">
      <c r="A74" s="63" t="s">
        <v>103</v>
      </c>
      <c r="B74" s="65">
        <v>10764836.439999999</v>
      </c>
      <c r="C74" s="65">
        <v>8107708.8600000003</v>
      </c>
      <c r="D74" s="65">
        <v>723561.72</v>
      </c>
      <c r="E74" s="65">
        <v>686455.94</v>
      </c>
      <c r="F74" s="66">
        <f t="shared" si="8"/>
        <v>20282562.960000001</v>
      </c>
      <c r="G74" s="67">
        <v>12</v>
      </c>
      <c r="H74" s="77" t="s">
        <v>84</v>
      </c>
      <c r="I74" s="64">
        <f t="shared" si="4"/>
        <v>1690213.58</v>
      </c>
      <c r="J74" s="64">
        <v>10459242.150101999</v>
      </c>
      <c r="K74" s="64">
        <v>995223.70916999993</v>
      </c>
      <c r="L74" s="64">
        <v>791462.26412099996</v>
      </c>
      <c r="M74" s="64">
        <v>572272.58211500011</v>
      </c>
      <c r="N74" s="64">
        <f t="shared" ref="N74:N87" si="14">SUM(J74:M74)</f>
        <v>12818200.705507999</v>
      </c>
      <c r="O74" s="64">
        <v>13</v>
      </c>
      <c r="P74" s="64" t="s">
        <v>84</v>
      </c>
      <c r="Q74" s="64">
        <f t="shared" si="10"/>
        <v>986015.43888523069</v>
      </c>
      <c r="R74" s="26">
        <f t="shared" si="12"/>
        <v>-36.801869020265087</v>
      </c>
      <c r="S74" s="27" t="e">
        <f t="shared" si="13"/>
        <v>#VALUE!</v>
      </c>
      <c r="T74" s="28">
        <f t="shared" si="13"/>
        <v>-41.663263711013926</v>
      </c>
      <c r="U74" s="2">
        <v>512</v>
      </c>
    </row>
    <row r="75" spans="1:22" s="69" customFormat="1" ht="47.25" x14ac:dyDescent="0.2">
      <c r="A75" s="42" t="s">
        <v>104</v>
      </c>
      <c r="B75" s="43">
        <v>2509608.4900000002</v>
      </c>
      <c r="C75" s="43">
        <v>3564330.86</v>
      </c>
      <c r="D75" s="43">
        <v>176190.38</v>
      </c>
      <c r="E75" s="43">
        <v>104268.63</v>
      </c>
      <c r="F75" s="44">
        <f t="shared" si="8"/>
        <v>6354398.3599999994</v>
      </c>
      <c r="G75" s="71">
        <v>13</v>
      </c>
      <c r="H75" s="78" t="s">
        <v>38</v>
      </c>
      <c r="I75" s="47">
        <f t="shared" si="4"/>
        <v>488799.87384615379</v>
      </c>
      <c r="J75" s="47">
        <v>10150710.167935001</v>
      </c>
      <c r="K75" s="47">
        <v>3924256.837843</v>
      </c>
      <c r="L75" s="47">
        <v>652372.07037900004</v>
      </c>
      <c r="M75" s="47">
        <v>667344.71707600006</v>
      </c>
      <c r="N75" s="47">
        <f t="shared" si="14"/>
        <v>15394683.793233</v>
      </c>
      <c r="O75" s="47">
        <v>20</v>
      </c>
      <c r="P75" s="78" t="s">
        <v>38</v>
      </c>
      <c r="Q75" s="47">
        <f t="shared" si="10"/>
        <v>769734.18966164999</v>
      </c>
      <c r="R75" s="48">
        <f t="shared" si="12"/>
        <v>142.26815696888417</v>
      </c>
      <c r="S75" s="49" t="e">
        <f t="shared" si="13"/>
        <v>#VALUE!</v>
      </c>
      <c r="T75" s="50">
        <f t="shared" si="13"/>
        <v>57.474302029774712</v>
      </c>
      <c r="U75" s="69">
        <v>513</v>
      </c>
    </row>
    <row r="76" spans="1:22" ht="47.25" x14ac:dyDescent="0.2">
      <c r="A76" s="63" t="s">
        <v>105</v>
      </c>
      <c r="B76" s="65">
        <v>9280788.1500000004</v>
      </c>
      <c r="C76" s="65">
        <v>14652709.800000001</v>
      </c>
      <c r="D76" s="65">
        <v>604389.32999999996</v>
      </c>
      <c r="E76" s="65">
        <v>370759.15</v>
      </c>
      <c r="F76" s="66">
        <f t="shared" si="8"/>
        <v>24908646.43</v>
      </c>
      <c r="G76" s="67">
        <v>5</v>
      </c>
      <c r="H76" s="77" t="s">
        <v>38</v>
      </c>
      <c r="I76" s="64">
        <f t="shared" si="4"/>
        <v>4981729.2860000003</v>
      </c>
      <c r="J76" s="64">
        <v>2092425.9665239998</v>
      </c>
      <c r="K76" s="64">
        <v>1297552.8536650001</v>
      </c>
      <c r="L76" s="64">
        <v>143586.48815499997</v>
      </c>
      <c r="M76" s="64">
        <v>87217.576496000009</v>
      </c>
      <c r="N76" s="64">
        <f t="shared" si="14"/>
        <v>3620782.88484</v>
      </c>
      <c r="O76" s="64">
        <v>1</v>
      </c>
      <c r="P76" s="64" t="s">
        <v>38</v>
      </c>
      <c r="Q76" s="64">
        <f t="shared" si="10"/>
        <v>3620782.88484</v>
      </c>
      <c r="R76" s="26">
        <f t="shared" si="12"/>
        <v>-85.463750930764647</v>
      </c>
      <c r="S76" s="27" t="e">
        <f t="shared" si="13"/>
        <v>#VALUE!</v>
      </c>
      <c r="T76" s="28">
        <f t="shared" si="13"/>
        <v>-27.318754653823241</v>
      </c>
      <c r="U76" s="2">
        <v>514</v>
      </c>
    </row>
    <row r="77" spans="1:22" s="69" customFormat="1" ht="31.5" x14ac:dyDescent="0.2">
      <c r="A77" s="42" t="s">
        <v>106</v>
      </c>
      <c r="B77" s="43">
        <v>7802292.7199999997</v>
      </c>
      <c r="C77" s="43">
        <v>654001.13</v>
      </c>
      <c r="D77" s="43">
        <v>716342.82</v>
      </c>
      <c r="E77" s="43">
        <v>485432.02</v>
      </c>
      <c r="F77" s="44">
        <f t="shared" si="8"/>
        <v>9658068.6899999995</v>
      </c>
      <c r="G77" s="71">
        <v>5</v>
      </c>
      <c r="H77" s="78" t="s">
        <v>32</v>
      </c>
      <c r="I77" s="47">
        <f t="shared" si="4"/>
        <v>1931613.7379999999</v>
      </c>
      <c r="J77" s="47">
        <v>7981802.5569784008</v>
      </c>
      <c r="K77" s="47">
        <v>5447617.2499024002</v>
      </c>
      <c r="L77" s="47">
        <v>497459.44989409996</v>
      </c>
      <c r="M77" s="47">
        <v>332372.36849550001</v>
      </c>
      <c r="N77" s="47">
        <f t="shared" si="14"/>
        <v>14259251.625270402</v>
      </c>
      <c r="O77" s="47">
        <v>17</v>
      </c>
      <c r="P77" s="47" t="s">
        <v>32</v>
      </c>
      <c r="Q77" s="47">
        <f t="shared" si="10"/>
        <v>838779.50736884715</v>
      </c>
      <c r="R77" s="48">
        <f t="shared" si="12"/>
        <v>47.640818086482284</v>
      </c>
      <c r="S77" s="49" t="e">
        <f t="shared" si="13"/>
        <v>#VALUE!</v>
      </c>
      <c r="T77" s="50">
        <f t="shared" si="13"/>
        <v>-56.576229974564029</v>
      </c>
      <c r="U77" s="69">
        <v>515</v>
      </c>
    </row>
    <row r="78" spans="1:22" x14ac:dyDescent="0.2">
      <c r="A78" s="63" t="s">
        <v>107</v>
      </c>
      <c r="B78" s="65">
        <v>3543720.26</v>
      </c>
      <c r="C78" s="65">
        <v>281551.76</v>
      </c>
      <c r="D78" s="65">
        <v>327495.78000000003</v>
      </c>
      <c r="E78" s="65">
        <v>205182</v>
      </c>
      <c r="F78" s="66">
        <f t="shared" si="8"/>
        <v>4357949.8</v>
      </c>
      <c r="G78" s="67">
        <v>23</v>
      </c>
      <c r="H78" s="77" t="s">
        <v>52</v>
      </c>
      <c r="I78" s="64">
        <f t="shared" si="4"/>
        <v>189476.07826086954</v>
      </c>
      <c r="J78" s="64">
        <v>7443565.1039659996</v>
      </c>
      <c r="K78" s="64">
        <v>368242.08344499994</v>
      </c>
      <c r="L78" s="64">
        <v>561685.09000600001</v>
      </c>
      <c r="M78" s="64">
        <v>366970.43001299998</v>
      </c>
      <c r="N78" s="64">
        <f t="shared" si="14"/>
        <v>8740462.7074299995</v>
      </c>
      <c r="O78" s="64">
        <v>32</v>
      </c>
      <c r="P78" s="64" t="s">
        <v>52</v>
      </c>
      <c r="Q78" s="64">
        <f t="shared" si="10"/>
        <v>273139.45960718748</v>
      </c>
      <c r="R78" s="26">
        <f t="shared" si="12"/>
        <v>100.56363906325861</v>
      </c>
      <c r="S78" s="27" t="e">
        <f t="shared" si="13"/>
        <v>#VALUE!</v>
      </c>
      <c r="T78" s="28">
        <f t="shared" si="13"/>
        <v>44.155115576717122</v>
      </c>
      <c r="U78" s="2">
        <v>516</v>
      </c>
    </row>
    <row r="79" spans="1:22" ht="31.5" x14ac:dyDescent="0.2">
      <c r="A79" s="63" t="s">
        <v>108</v>
      </c>
      <c r="B79" s="65">
        <v>12518037.289999999</v>
      </c>
      <c r="C79" s="65">
        <v>472857.83999999985</v>
      </c>
      <c r="D79" s="65">
        <v>701997.46</v>
      </c>
      <c r="E79" s="65">
        <v>231883.65999999992</v>
      </c>
      <c r="F79" s="66">
        <f t="shared" si="8"/>
        <v>13924776.25</v>
      </c>
      <c r="G79" s="67">
        <v>71</v>
      </c>
      <c r="H79" s="68" t="s">
        <v>49</v>
      </c>
      <c r="I79" s="64">
        <f t="shared" si="4"/>
        <v>196123.60915492958</v>
      </c>
      <c r="J79" s="64">
        <v>12008936.428188998</v>
      </c>
      <c r="K79" s="64">
        <v>1397219.97982</v>
      </c>
      <c r="L79" s="64">
        <v>832106.02312100003</v>
      </c>
      <c r="M79" s="64">
        <v>747278.04697300005</v>
      </c>
      <c r="N79" s="64">
        <f t="shared" si="14"/>
        <v>14985540.478102997</v>
      </c>
      <c r="O79" s="64">
        <v>82</v>
      </c>
      <c r="P79" s="64" t="s">
        <v>49</v>
      </c>
      <c r="Q79" s="64">
        <f t="shared" si="10"/>
        <v>182750.49363540241</v>
      </c>
      <c r="R79" s="26">
        <f t="shared" si="12"/>
        <v>7.6178188364283193</v>
      </c>
      <c r="S79" s="27" t="e">
        <f t="shared" si="13"/>
        <v>#VALUE!</v>
      </c>
      <c r="T79" s="28">
        <f t="shared" si="13"/>
        <v>-6.8187178367510874</v>
      </c>
      <c r="U79" s="2">
        <v>518</v>
      </c>
    </row>
    <row r="80" spans="1:22" ht="31.5" x14ac:dyDescent="0.2">
      <c r="A80" s="63" t="s">
        <v>109</v>
      </c>
      <c r="B80" s="65">
        <v>30881787.25</v>
      </c>
      <c r="C80" s="65">
        <v>3960495.6799999997</v>
      </c>
      <c r="D80" s="65">
        <v>4363374.07</v>
      </c>
      <c r="E80" s="65">
        <v>2061443.75</v>
      </c>
      <c r="F80" s="66">
        <f t="shared" si="8"/>
        <v>41267100.75</v>
      </c>
      <c r="G80" s="67">
        <v>19469</v>
      </c>
      <c r="H80" s="68" t="s">
        <v>49</v>
      </c>
      <c r="I80" s="64">
        <f t="shared" si="4"/>
        <v>2119.6312471107917</v>
      </c>
      <c r="J80" s="64">
        <v>25404194.604201999</v>
      </c>
      <c r="K80" s="64">
        <v>4947090.2979280008</v>
      </c>
      <c r="L80" s="64">
        <v>1396704.6919559997</v>
      </c>
      <c r="M80" s="64">
        <v>1796185.5871959999</v>
      </c>
      <c r="N80" s="64">
        <f t="shared" si="14"/>
        <v>33544175.181281999</v>
      </c>
      <c r="O80" s="64">
        <v>20145</v>
      </c>
      <c r="P80" s="64" t="s">
        <v>49</v>
      </c>
      <c r="Q80" s="64">
        <f t="shared" si="10"/>
        <v>1665.1365192991809</v>
      </c>
      <c r="R80" s="26">
        <f t="shared" si="12"/>
        <v>-18.714485457808667</v>
      </c>
      <c r="S80" s="27" t="e">
        <f t="shared" si="13"/>
        <v>#VALUE!</v>
      </c>
      <c r="T80" s="28">
        <f t="shared" si="13"/>
        <v>-21.442160207400203</v>
      </c>
      <c r="U80" s="2">
        <v>519</v>
      </c>
    </row>
    <row r="81" spans="1:21" s="60" customFormat="1" ht="31.5" x14ac:dyDescent="0.2">
      <c r="A81" s="30" t="s">
        <v>110</v>
      </c>
      <c r="B81" s="31">
        <v>43746035.630000003</v>
      </c>
      <c r="C81" s="31">
        <v>16470790.67</v>
      </c>
      <c r="D81" s="31">
        <v>837531.78</v>
      </c>
      <c r="E81" s="31">
        <v>834539.45</v>
      </c>
      <c r="F81" s="32">
        <f t="shared" si="8"/>
        <v>61888897.530000009</v>
      </c>
      <c r="G81" s="57">
        <v>6700</v>
      </c>
      <c r="H81" s="58" t="s">
        <v>49</v>
      </c>
      <c r="I81" s="35">
        <f t="shared" si="4"/>
        <v>9237.1488850746282</v>
      </c>
      <c r="J81" s="35">
        <v>18041225.694320001</v>
      </c>
      <c r="K81" s="35">
        <v>1279629.0558749998</v>
      </c>
      <c r="L81" s="35">
        <v>1371212.369216</v>
      </c>
      <c r="M81" s="35">
        <v>1149571.339597</v>
      </c>
      <c r="N81" s="35">
        <f t="shared" si="14"/>
        <v>21841638.459008001</v>
      </c>
      <c r="O81" s="35">
        <v>7128</v>
      </c>
      <c r="P81" s="35" t="s">
        <v>49</v>
      </c>
      <c r="Q81" s="35">
        <f t="shared" si="10"/>
        <v>3064.2029263479239</v>
      </c>
      <c r="R81" s="36">
        <f t="shared" si="12"/>
        <v>-64.708309033263205</v>
      </c>
      <c r="S81" s="37" t="e">
        <f t="shared" si="13"/>
        <v>#VALUE!</v>
      </c>
      <c r="T81" s="38">
        <f t="shared" si="13"/>
        <v>-66.827394854498252</v>
      </c>
      <c r="U81" s="60">
        <v>520</v>
      </c>
    </row>
    <row r="82" spans="1:21" ht="47.25" x14ac:dyDescent="0.2">
      <c r="A82" s="63" t="s">
        <v>111</v>
      </c>
      <c r="B82" s="65">
        <v>15470406.85</v>
      </c>
      <c r="C82" s="65">
        <v>2624757.64</v>
      </c>
      <c r="D82" s="65">
        <v>1201796.97</v>
      </c>
      <c r="E82" s="65">
        <v>1123518.6499999999</v>
      </c>
      <c r="F82" s="66">
        <f t="shared" si="8"/>
        <v>20420480.109999996</v>
      </c>
      <c r="G82" s="67">
        <v>1</v>
      </c>
      <c r="H82" s="68" t="s">
        <v>19</v>
      </c>
      <c r="I82" s="64">
        <f t="shared" si="4"/>
        <v>20420480.109999996</v>
      </c>
      <c r="J82" s="64">
        <v>11325817.473822003</v>
      </c>
      <c r="K82" s="64">
        <v>2159388.7377200001</v>
      </c>
      <c r="L82" s="64">
        <v>692688.19054700015</v>
      </c>
      <c r="M82" s="64">
        <v>739752.36301299999</v>
      </c>
      <c r="N82" s="64">
        <f t="shared" si="14"/>
        <v>14917646.765102003</v>
      </c>
      <c r="O82" s="64">
        <v>1</v>
      </c>
      <c r="P82" s="64" t="s">
        <v>19</v>
      </c>
      <c r="Q82" s="64">
        <f t="shared" si="10"/>
        <v>14917646.765102003</v>
      </c>
      <c r="R82" s="26">
        <f t="shared" si="12"/>
        <v>-26.947619817240398</v>
      </c>
      <c r="S82" s="27" t="e">
        <f t="shared" si="13"/>
        <v>#VALUE!</v>
      </c>
      <c r="T82" s="28">
        <f t="shared" si="13"/>
        <v>-26.947619817240398</v>
      </c>
      <c r="U82" s="2">
        <v>521</v>
      </c>
    </row>
    <row r="83" spans="1:21" ht="31.5" x14ac:dyDescent="0.2">
      <c r="A83" s="63" t="s">
        <v>112</v>
      </c>
      <c r="B83" s="65">
        <v>17161139.98</v>
      </c>
      <c r="C83" s="65">
        <v>3466501.88</v>
      </c>
      <c r="D83" s="65">
        <v>1176889.71</v>
      </c>
      <c r="E83" s="65">
        <v>1210078.19</v>
      </c>
      <c r="F83" s="66">
        <f t="shared" si="8"/>
        <v>23014609.760000002</v>
      </c>
      <c r="G83" s="67">
        <v>1</v>
      </c>
      <c r="H83" s="68" t="s">
        <v>19</v>
      </c>
      <c r="I83" s="64">
        <f t="shared" si="4"/>
        <v>23014609.760000002</v>
      </c>
      <c r="J83" s="64">
        <v>14703505.391639002</v>
      </c>
      <c r="K83" s="64">
        <v>2255201.508711</v>
      </c>
      <c r="L83" s="64">
        <v>982793.21307699999</v>
      </c>
      <c r="M83" s="64">
        <v>1033742.457799</v>
      </c>
      <c r="N83" s="64">
        <f t="shared" si="14"/>
        <v>18975242.571226001</v>
      </c>
      <c r="O83" s="64">
        <v>1</v>
      </c>
      <c r="P83" s="64" t="s">
        <v>19</v>
      </c>
      <c r="Q83" s="64">
        <f t="shared" si="10"/>
        <v>18975242.571226001</v>
      </c>
      <c r="R83" s="26">
        <f t="shared" si="12"/>
        <v>-17.551317319290494</v>
      </c>
      <c r="S83" s="27" t="e">
        <f t="shared" si="13"/>
        <v>#VALUE!</v>
      </c>
      <c r="T83" s="28">
        <f t="shared" si="13"/>
        <v>-17.551317319290494</v>
      </c>
      <c r="U83" s="2">
        <v>522</v>
      </c>
    </row>
    <row r="84" spans="1:21" ht="63" x14ac:dyDescent="0.2">
      <c r="A84" s="63" t="s">
        <v>113</v>
      </c>
      <c r="B84" s="65">
        <v>2279538.1</v>
      </c>
      <c r="C84" s="65">
        <v>255400.87</v>
      </c>
      <c r="D84" s="65">
        <v>213955</v>
      </c>
      <c r="E84" s="65">
        <v>157000.66</v>
      </c>
      <c r="F84" s="66">
        <f t="shared" si="8"/>
        <v>2905894.6300000004</v>
      </c>
      <c r="G84" s="67">
        <v>19</v>
      </c>
      <c r="H84" s="68" t="s">
        <v>38</v>
      </c>
      <c r="I84" s="64">
        <f t="shared" si="4"/>
        <v>152941.82263157898</v>
      </c>
      <c r="J84" s="64">
        <v>2869905.9742660001</v>
      </c>
      <c r="K84" s="64">
        <v>189858.62526799971</v>
      </c>
      <c r="L84" s="64">
        <v>249999.99593600014</v>
      </c>
      <c r="M84" s="64">
        <v>189999.99569700006</v>
      </c>
      <c r="N84" s="64">
        <f t="shared" si="14"/>
        <v>3499764.5911670001</v>
      </c>
      <c r="O84" s="64">
        <v>15</v>
      </c>
      <c r="P84" s="64" t="s">
        <v>38</v>
      </c>
      <c r="Q84" s="64">
        <f t="shared" si="10"/>
        <v>233317.63941113334</v>
      </c>
      <c r="R84" s="26">
        <f t="shared" si="12"/>
        <v>20.436734182856441</v>
      </c>
      <c r="S84" s="27" t="e">
        <f t="shared" si="13"/>
        <v>#VALUE!</v>
      </c>
      <c r="T84" s="28">
        <f t="shared" si="13"/>
        <v>52.553196631618135</v>
      </c>
      <c r="U84" s="2">
        <v>523</v>
      </c>
    </row>
    <row r="85" spans="1:21" ht="31.5" x14ac:dyDescent="0.2">
      <c r="A85" s="63" t="s">
        <v>114</v>
      </c>
      <c r="B85" s="65">
        <v>285902.65000000002</v>
      </c>
      <c r="C85" s="65">
        <v>78267.23</v>
      </c>
      <c r="D85" s="65">
        <v>32779.17</v>
      </c>
      <c r="E85" s="65">
        <v>6637.45</v>
      </c>
      <c r="F85" s="66">
        <f t="shared" si="8"/>
        <v>403586.5</v>
      </c>
      <c r="G85" s="67">
        <v>1</v>
      </c>
      <c r="H85" s="68" t="s">
        <v>19</v>
      </c>
      <c r="I85" s="64">
        <f t="shared" ref="I85:I167" si="15">+F85/G85</f>
        <v>403586.5</v>
      </c>
      <c r="J85" s="64">
        <v>139132.121384</v>
      </c>
      <c r="K85" s="64">
        <v>3721.3714169999994</v>
      </c>
      <c r="L85" s="64">
        <v>25867.112464999998</v>
      </c>
      <c r="M85" s="64">
        <v>5055.2076980000002</v>
      </c>
      <c r="N85" s="64">
        <f t="shared" si="14"/>
        <v>173775.81296399998</v>
      </c>
      <c r="O85" s="64">
        <v>1</v>
      </c>
      <c r="P85" s="64" t="s">
        <v>19</v>
      </c>
      <c r="Q85" s="64">
        <f t="shared" si="10"/>
        <v>173775.81296399998</v>
      </c>
      <c r="R85" s="26">
        <f t="shared" si="12"/>
        <v>-56.942114524643415</v>
      </c>
      <c r="S85" s="27" t="e">
        <f t="shared" si="13"/>
        <v>#VALUE!</v>
      </c>
      <c r="T85" s="28">
        <f t="shared" si="13"/>
        <v>-56.942114524643415</v>
      </c>
      <c r="U85" s="2">
        <v>524</v>
      </c>
    </row>
    <row r="86" spans="1:21" ht="31.5" x14ac:dyDescent="0.2">
      <c r="A86" s="63" t="s">
        <v>115</v>
      </c>
      <c r="B86" s="65">
        <v>4437575.99</v>
      </c>
      <c r="C86" s="65">
        <v>823022.68</v>
      </c>
      <c r="D86" s="65">
        <v>339648.23</v>
      </c>
      <c r="E86" s="65">
        <v>302382.5</v>
      </c>
      <c r="F86" s="66">
        <f t="shared" si="8"/>
        <v>5902629.4000000004</v>
      </c>
      <c r="G86" s="67">
        <v>1</v>
      </c>
      <c r="H86" s="68" t="s">
        <v>56</v>
      </c>
      <c r="I86" s="64">
        <f t="shared" si="15"/>
        <v>5902629.4000000004</v>
      </c>
      <c r="J86" s="64">
        <v>2158053.739424</v>
      </c>
      <c r="K86" s="64">
        <v>143303.48870400002</v>
      </c>
      <c r="L86" s="64">
        <v>182243.52269499999</v>
      </c>
      <c r="M86" s="64">
        <v>133462.961159</v>
      </c>
      <c r="N86" s="64">
        <f t="shared" si="14"/>
        <v>2617063.7119820002</v>
      </c>
      <c r="O86" s="64">
        <v>1</v>
      </c>
      <c r="P86" s="64" t="s">
        <v>56</v>
      </c>
      <c r="Q86" s="64">
        <f t="shared" si="10"/>
        <v>2617063.7119820002</v>
      </c>
      <c r="R86" s="26">
        <f t="shared" si="12"/>
        <v>-55.662747317627634</v>
      </c>
      <c r="S86" s="27" t="e">
        <f t="shared" si="13"/>
        <v>#VALUE!</v>
      </c>
      <c r="T86" s="28">
        <f t="shared" si="13"/>
        <v>-55.662747317627634</v>
      </c>
      <c r="U86" s="2">
        <v>525</v>
      </c>
    </row>
    <row r="87" spans="1:21" ht="47.25" x14ac:dyDescent="0.2">
      <c r="A87" s="63" t="s">
        <v>116</v>
      </c>
      <c r="B87" s="65">
        <v>559089.11</v>
      </c>
      <c r="C87" s="65">
        <v>88637.66</v>
      </c>
      <c r="D87" s="65">
        <v>58452.85</v>
      </c>
      <c r="E87" s="65">
        <v>21525.759999999998</v>
      </c>
      <c r="F87" s="66">
        <f t="shared" si="8"/>
        <v>727705.38</v>
      </c>
      <c r="G87" s="67">
        <v>1</v>
      </c>
      <c r="H87" s="68" t="s">
        <v>100</v>
      </c>
      <c r="I87" s="64">
        <f t="shared" si="15"/>
        <v>727705.38</v>
      </c>
      <c r="J87" s="64">
        <v>4287694.819906001</v>
      </c>
      <c r="K87" s="64">
        <v>683987.980675</v>
      </c>
      <c r="L87" s="64">
        <v>278431.54922400002</v>
      </c>
      <c r="M87" s="64">
        <v>268335.24523900001</v>
      </c>
      <c r="N87" s="64">
        <f t="shared" si="14"/>
        <v>5518449.595044001</v>
      </c>
      <c r="O87" s="64">
        <v>6</v>
      </c>
      <c r="P87" s="64" t="s">
        <v>100</v>
      </c>
      <c r="Q87" s="64">
        <f t="shared" si="10"/>
        <v>919741.59917400021</v>
      </c>
      <c r="R87" s="26">
        <f t="shared" si="12"/>
        <v>658.33568731400624</v>
      </c>
      <c r="S87" s="27" t="e">
        <f t="shared" si="13"/>
        <v>#VALUE!</v>
      </c>
      <c r="T87" s="28">
        <f t="shared" si="13"/>
        <v>26.389281219001049</v>
      </c>
      <c r="U87" s="2">
        <v>526</v>
      </c>
    </row>
    <row r="88" spans="1:21" ht="31.5" x14ac:dyDescent="0.2">
      <c r="A88" s="63" t="s">
        <v>117</v>
      </c>
      <c r="B88" s="65">
        <v>1341368.19</v>
      </c>
      <c r="C88" s="65">
        <v>150454.78</v>
      </c>
      <c r="D88" s="65">
        <v>79666.44</v>
      </c>
      <c r="E88" s="65">
        <v>93050.9</v>
      </c>
      <c r="F88" s="66">
        <f t="shared" si="8"/>
        <v>1664540.3099999998</v>
      </c>
      <c r="G88" s="67">
        <v>5</v>
      </c>
      <c r="H88" s="68" t="s">
        <v>100</v>
      </c>
      <c r="I88" s="64">
        <f t="shared" si="15"/>
        <v>332908.06199999998</v>
      </c>
      <c r="J88" s="294" t="s">
        <v>27</v>
      </c>
      <c r="K88" s="295"/>
      <c r="L88" s="295"/>
      <c r="M88" s="295"/>
      <c r="N88" s="295"/>
      <c r="O88" s="295"/>
      <c r="P88" s="295"/>
      <c r="Q88" s="296"/>
      <c r="R88" s="26">
        <f t="shared" si="12"/>
        <v>-100</v>
      </c>
      <c r="S88" s="27" t="e">
        <f t="shared" si="13"/>
        <v>#VALUE!</v>
      </c>
      <c r="T88" s="28">
        <f t="shared" si="13"/>
        <v>-100</v>
      </c>
      <c r="U88" s="2">
        <v>527</v>
      </c>
    </row>
    <row r="89" spans="1:21" s="60" customFormat="1" ht="31.5" x14ac:dyDescent="0.2">
      <c r="A89" s="30" t="s">
        <v>118</v>
      </c>
      <c r="B89" s="31">
        <v>2685137.12</v>
      </c>
      <c r="C89" s="31">
        <v>396882.56</v>
      </c>
      <c r="D89" s="31">
        <v>198208.7</v>
      </c>
      <c r="E89" s="31">
        <v>210103.75</v>
      </c>
      <c r="F89" s="32">
        <f t="shared" si="8"/>
        <v>3490332.1300000004</v>
      </c>
      <c r="G89" s="57">
        <v>1</v>
      </c>
      <c r="H89" s="58" t="s">
        <v>19</v>
      </c>
      <c r="I89" s="35">
        <f t="shared" si="15"/>
        <v>3490332.1300000004</v>
      </c>
      <c r="J89" s="35">
        <v>2202313.0388480001</v>
      </c>
      <c r="K89" s="35">
        <v>216636.96211299999</v>
      </c>
      <c r="L89" s="35">
        <v>45551.277158999997</v>
      </c>
      <c r="M89" s="35">
        <v>17744.353891999999</v>
      </c>
      <c r="N89" s="35">
        <f>SUM(J89:M89)</f>
        <v>2482245.6320119998</v>
      </c>
      <c r="O89" s="35">
        <v>2</v>
      </c>
      <c r="P89" s="35" t="s">
        <v>19</v>
      </c>
      <c r="Q89" s="35">
        <f t="shared" ref="Q89:Q104" si="16">N89/O89</f>
        <v>1241122.8160059999</v>
      </c>
      <c r="R89" s="36">
        <f t="shared" si="12"/>
        <v>-28.882251328557672</v>
      </c>
      <c r="S89" s="37" t="e">
        <f t="shared" si="13"/>
        <v>#VALUE!</v>
      </c>
      <c r="T89" s="38">
        <f t="shared" si="13"/>
        <v>-64.441125664278843</v>
      </c>
      <c r="U89" s="60">
        <v>528</v>
      </c>
    </row>
    <row r="90" spans="1:21" ht="47.25" x14ac:dyDescent="0.2">
      <c r="A90" s="63" t="s">
        <v>119</v>
      </c>
      <c r="B90" s="65">
        <v>406682.58000000007</v>
      </c>
      <c r="C90" s="65">
        <v>993641.53</v>
      </c>
      <c r="D90" s="65">
        <v>345123.57</v>
      </c>
      <c r="E90" s="65">
        <v>327925.39</v>
      </c>
      <c r="F90" s="66">
        <f t="shared" si="8"/>
        <v>2073373.0700000003</v>
      </c>
      <c r="G90" s="67">
        <v>15</v>
      </c>
      <c r="H90" s="68" t="s">
        <v>84</v>
      </c>
      <c r="I90" s="64">
        <f t="shared" si="15"/>
        <v>138224.87133333334</v>
      </c>
      <c r="J90" s="64">
        <v>1176430.63421</v>
      </c>
      <c r="K90" s="64">
        <v>95692.25186400002</v>
      </c>
      <c r="L90" s="64">
        <v>104388.679388</v>
      </c>
      <c r="M90" s="64">
        <v>86184.276729999998</v>
      </c>
      <c r="N90" s="64">
        <f t="shared" ref="N90:N104" si="17">SUM(J90:M90)</f>
        <v>1462695.842192</v>
      </c>
      <c r="O90" s="64">
        <v>18</v>
      </c>
      <c r="P90" s="64" t="s">
        <v>84</v>
      </c>
      <c r="Q90" s="64">
        <f t="shared" si="16"/>
        <v>81260.88012177778</v>
      </c>
      <c r="R90" s="26">
        <f t="shared" si="12"/>
        <v>-29.45332109517561</v>
      </c>
      <c r="S90" s="27" t="e">
        <f t="shared" si="13"/>
        <v>#VALUE!</v>
      </c>
      <c r="T90" s="28">
        <f t="shared" si="13"/>
        <v>-41.211100912646337</v>
      </c>
      <c r="U90" s="2">
        <v>529</v>
      </c>
    </row>
    <row r="91" spans="1:21" ht="47.25" x14ac:dyDescent="0.2">
      <c r="A91" s="63" t="s">
        <v>120</v>
      </c>
      <c r="B91" s="65">
        <v>3494411.49</v>
      </c>
      <c r="C91" s="65">
        <v>906503.3</v>
      </c>
      <c r="D91" s="65">
        <v>336178.52</v>
      </c>
      <c r="E91" s="65">
        <v>307470.11</v>
      </c>
      <c r="F91" s="66">
        <f t="shared" si="8"/>
        <v>5044563.4200000009</v>
      </c>
      <c r="G91" s="67">
        <v>80</v>
      </c>
      <c r="H91" s="68" t="s">
        <v>34</v>
      </c>
      <c r="I91" s="64">
        <f t="shared" si="15"/>
        <v>63057.042750000008</v>
      </c>
      <c r="J91" s="64">
        <v>2490400.0747998999</v>
      </c>
      <c r="K91" s="64">
        <v>357414.74946999998</v>
      </c>
      <c r="L91" s="64">
        <v>204769.08932279996</v>
      </c>
      <c r="M91" s="64">
        <v>206190.47792559999</v>
      </c>
      <c r="N91" s="64">
        <f t="shared" si="17"/>
        <v>3258774.3915182999</v>
      </c>
      <c r="O91" s="64">
        <v>40</v>
      </c>
      <c r="P91" s="68" t="s">
        <v>34</v>
      </c>
      <c r="Q91" s="64">
        <f t="shared" si="16"/>
        <v>81469.359787957495</v>
      </c>
      <c r="R91" s="26">
        <f t="shared" si="12"/>
        <v>-35.400269157121642</v>
      </c>
      <c r="S91" s="27" t="e">
        <f t="shared" si="13"/>
        <v>#VALUE!</v>
      </c>
      <c r="T91" s="28">
        <f t="shared" si="13"/>
        <v>29.199461685756717</v>
      </c>
      <c r="U91" s="2">
        <v>530</v>
      </c>
    </row>
    <row r="92" spans="1:21" ht="47.25" x14ac:dyDescent="0.2">
      <c r="A92" s="63" t="s">
        <v>121</v>
      </c>
      <c r="B92" s="65">
        <v>704404.78</v>
      </c>
      <c r="C92" s="65">
        <v>114152.18</v>
      </c>
      <c r="D92" s="65">
        <v>62909.2</v>
      </c>
      <c r="E92" s="65">
        <v>37463.379999999997</v>
      </c>
      <c r="F92" s="66">
        <f t="shared" si="8"/>
        <v>918929.53999999992</v>
      </c>
      <c r="G92" s="67">
        <v>13</v>
      </c>
      <c r="H92" s="68" t="s">
        <v>38</v>
      </c>
      <c r="I92" s="64">
        <f t="shared" si="15"/>
        <v>70686.88769230769</v>
      </c>
      <c r="J92" s="64">
        <v>775852.22</v>
      </c>
      <c r="K92" s="64">
        <v>202897.98800000001</v>
      </c>
      <c r="L92" s="64">
        <v>89262.43</v>
      </c>
      <c r="M92" s="64">
        <v>42597.69</v>
      </c>
      <c r="N92" s="64">
        <f t="shared" si="17"/>
        <v>1110610.328</v>
      </c>
      <c r="O92" s="64">
        <v>13</v>
      </c>
      <c r="P92" s="64" t="s">
        <v>38</v>
      </c>
      <c r="Q92" s="64">
        <f t="shared" si="16"/>
        <v>85431.563692307696</v>
      </c>
      <c r="R92" s="26">
        <f t="shared" si="12"/>
        <v>20.859138775754239</v>
      </c>
      <c r="S92" s="27" t="e">
        <f t="shared" si="13"/>
        <v>#VALUE!</v>
      </c>
      <c r="T92" s="28">
        <f t="shared" si="13"/>
        <v>20.859138775754243</v>
      </c>
      <c r="U92" s="2">
        <v>531</v>
      </c>
    </row>
    <row r="93" spans="1:21" ht="31.5" x14ac:dyDescent="0.2">
      <c r="A93" s="63" t="s">
        <v>122</v>
      </c>
      <c r="B93" s="65">
        <v>20376063.210000001</v>
      </c>
      <c r="C93" s="65">
        <v>30525217.690000001</v>
      </c>
      <c r="D93" s="65">
        <v>2749524.56</v>
      </c>
      <c r="E93" s="65">
        <v>2552570.84</v>
      </c>
      <c r="F93" s="66">
        <f t="shared" si="8"/>
        <v>56203376.300000012</v>
      </c>
      <c r="G93" s="67">
        <v>1</v>
      </c>
      <c r="H93" s="68" t="s">
        <v>32</v>
      </c>
      <c r="I93" s="64">
        <f t="shared" si="15"/>
        <v>56203376.300000012</v>
      </c>
      <c r="J93" s="64">
        <v>22748626.666818999</v>
      </c>
      <c r="K93" s="64">
        <v>26487975.667334002</v>
      </c>
      <c r="L93" s="64">
        <v>1646572.5652680001</v>
      </c>
      <c r="M93" s="66">
        <v>612704.72625599999</v>
      </c>
      <c r="N93" s="64">
        <f t="shared" si="17"/>
        <v>51495879.625676997</v>
      </c>
      <c r="O93" s="64">
        <v>1</v>
      </c>
      <c r="P93" s="64" t="s">
        <v>32</v>
      </c>
      <c r="Q93" s="64">
        <f t="shared" si="16"/>
        <v>51495879.625676997</v>
      </c>
      <c r="R93" s="26">
        <f t="shared" si="12"/>
        <v>-8.3758254116185782</v>
      </c>
      <c r="S93" s="27" t="e">
        <f t="shared" si="13"/>
        <v>#VALUE!</v>
      </c>
      <c r="T93" s="28">
        <f t="shared" si="13"/>
        <v>-8.3758254116185782</v>
      </c>
      <c r="U93" s="2">
        <v>532</v>
      </c>
    </row>
    <row r="94" spans="1:21" x14ac:dyDescent="0.2">
      <c r="A94" s="63" t="s">
        <v>123</v>
      </c>
      <c r="B94" s="65">
        <v>11182111.08</v>
      </c>
      <c r="C94" s="65">
        <v>2491500.46</v>
      </c>
      <c r="D94" s="65">
        <v>783630.73</v>
      </c>
      <c r="E94" s="65">
        <v>782975.14</v>
      </c>
      <c r="F94" s="66">
        <f t="shared" si="8"/>
        <v>15240217.41</v>
      </c>
      <c r="G94" s="67">
        <v>34</v>
      </c>
      <c r="H94" s="68" t="s">
        <v>52</v>
      </c>
      <c r="I94" s="64">
        <f t="shared" si="15"/>
        <v>448241.6885294118</v>
      </c>
      <c r="J94" s="64">
        <v>5548734.3684660001</v>
      </c>
      <c r="K94" s="64">
        <v>5030430.4130140003</v>
      </c>
      <c r="L94" s="64">
        <v>56101.140238999993</v>
      </c>
      <c r="M94" s="64">
        <v>30078.054685000003</v>
      </c>
      <c r="N94" s="64">
        <f t="shared" si="17"/>
        <v>10665343.976404</v>
      </c>
      <c r="O94" s="64">
        <v>38</v>
      </c>
      <c r="P94" s="64" t="s">
        <v>52</v>
      </c>
      <c r="Q94" s="64">
        <f t="shared" si="16"/>
        <v>280666.94674747367</v>
      </c>
      <c r="R94" s="26">
        <f t="shared" si="12"/>
        <v>-30.018426315848735</v>
      </c>
      <c r="S94" s="27" t="e">
        <f t="shared" si="13"/>
        <v>#VALUE!</v>
      </c>
      <c r="T94" s="28">
        <f t="shared" si="13"/>
        <v>-37.384907756285713</v>
      </c>
      <c r="U94" s="2">
        <v>533</v>
      </c>
    </row>
    <row r="95" spans="1:21" ht="47.25" x14ac:dyDescent="0.2">
      <c r="A95" s="63" t="s">
        <v>124</v>
      </c>
      <c r="B95" s="79">
        <v>6279682.1399999997</v>
      </c>
      <c r="C95" s="79">
        <v>160456.14000000001</v>
      </c>
      <c r="D95" s="79">
        <v>107810.96</v>
      </c>
      <c r="E95" s="79">
        <v>76047.179999999993</v>
      </c>
      <c r="F95" s="66">
        <f t="shared" si="8"/>
        <v>6623996.419999999</v>
      </c>
      <c r="G95" s="80">
        <v>415061</v>
      </c>
      <c r="H95" s="77" t="s">
        <v>49</v>
      </c>
      <c r="I95" s="64">
        <f t="shared" si="15"/>
        <v>15.959091362474428</v>
      </c>
      <c r="J95" s="64">
        <v>10816616.939622</v>
      </c>
      <c r="K95" s="64">
        <v>2170286.0905829999</v>
      </c>
      <c r="L95" s="64">
        <v>633686.25731599983</v>
      </c>
      <c r="M95" s="64">
        <v>682717.84657699999</v>
      </c>
      <c r="N95" s="64">
        <f t="shared" si="17"/>
        <v>14303307.134098001</v>
      </c>
      <c r="O95" s="64">
        <v>703181</v>
      </c>
      <c r="P95" s="64" t="s">
        <v>49</v>
      </c>
      <c r="Q95" s="64">
        <f t="shared" si="16"/>
        <v>20.340861220792373</v>
      </c>
      <c r="R95" s="26">
        <f t="shared" si="12"/>
        <v>115.93168575562127</v>
      </c>
      <c r="S95" s="27" t="e">
        <f t="shared" si="13"/>
        <v>#VALUE!</v>
      </c>
      <c r="T95" s="28">
        <f t="shared" si="13"/>
        <v>27.456261505094609</v>
      </c>
      <c r="U95" s="2">
        <v>535</v>
      </c>
    </row>
    <row r="96" spans="1:21" ht="47.25" x14ac:dyDescent="0.2">
      <c r="A96" s="63" t="s">
        <v>125</v>
      </c>
      <c r="B96" s="79">
        <v>3564278.36</v>
      </c>
      <c r="C96" s="79">
        <v>336425.72</v>
      </c>
      <c r="D96" s="79">
        <v>130507.88</v>
      </c>
      <c r="E96" s="79">
        <v>302433.39</v>
      </c>
      <c r="F96" s="66">
        <f t="shared" si="8"/>
        <v>4333645.3499999996</v>
      </c>
      <c r="G96" s="80">
        <v>415061</v>
      </c>
      <c r="H96" s="77" t="s">
        <v>49</v>
      </c>
      <c r="I96" s="64">
        <f t="shared" si="15"/>
        <v>10.440984216777775</v>
      </c>
      <c r="J96" s="64">
        <v>3790052.85</v>
      </c>
      <c r="K96" s="64">
        <v>404511.67</v>
      </c>
      <c r="L96" s="64">
        <v>153290.06</v>
      </c>
      <c r="M96" s="64">
        <v>341496.11</v>
      </c>
      <c r="N96" s="64">
        <f t="shared" si="17"/>
        <v>4689350.6900000004</v>
      </c>
      <c r="O96" s="64">
        <v>703181</v>
      </c>
      <c r="P96" s="64" t="s">
        <v>49</v>
      </c>
      <c r="Q96" s="64">
        <f t="shared" si="16"/>
        <v>6.668767628818185</v>
      </c>
      <c r="R96" s="26">
        <f t="shared" si="12"/>
        <v>8.2079937621107089</v>
      </c>
      <c r="S96" s="27" t="e">
        <f t="shared" si="13"/>
        <v>#VALUE!</v>
      </c>
      <c r="T96" s="28">
        <f t="shared" si="13"/>
        <v>-36.128936790249696</v>
      </c>
      <c r="U96" s="2">
        <v>536</v>
      </c>
    </row>
    <row r="97" spans="1:21" ht="31.5" x14ac:dyDescent="0.2">
      <c r="A97" s="63" t="s">
        <v>126</v>
      </c>
      <c r="B97" s="79">
        <v>5170594.42</v>
      </c>
      <c r="C97" s="79">
        <v>386801.8</v>
      </c>
      <c r="D97" s="79">
        <v>454308.91</v>
      </c>
      <c r="E97" s="79">
        <v>315914.84000000003</v>
      </c>
      <c r="F97" s="66">
        <f t="shared" si="8"/>
        <v>6327619.9699999997</v>
      </c>
      <c r="G97" s="80">
        <v>10000</v>
      </c>
      <c r="H97" s="77" t="s">
        <v>49</v>
      </c>
      <c r="I97" s="64">
        <f t="shared" si="15"/>
        <v>632.76199699999995</v>
      </c>
      <c r="J97" s="64">
        <v>5514901.8011050001</v>
      </c>
      <c r="K97" s="64">
        <v>75294.951501000003</v>
      </c>
      <c r="L97" s="64">
        <v>103275.87711500001</v>
      </c>
      <c r="M97" s="64">
        <v>65048.560407999998</v>
      </c>
      <c r="N97" s="64">
        <f t="shared" si="17"/>
        <v>5758521.1901289998</v>
      </c>
      <c r="O97" s="64">
        <v>16872</v>
      </c>
      <c r="P97" s="64" t="s">
        <v>49</v>
      </c>
      <c r="Q97" s="64">
        <f t="shared" si="16"/>
        <v>341.30637684500948</v>
      </c>
      <c r="R97" s="26">
        <f t="shared" si="12"/>
        <v>-8.9938836808968468</v>
      </c>
      <c r="S97" s="27" t="e">
        <f t="shared" si="13"/>
        <v>#VALUE!</v>
      </c>
      <c r="T97" s="28">
        <f t="shared" si="13"/>
        <v>-46.060860408307754</v>
      </c>
      <c r="U97" s="2">
        <v>537</v>
      </c>
    </row>
    <row r="98" spans="1:21" ht="63" x14ac:dyDescent="0.2">
      <c r="A98" s="63" t="s">
        <v>127</v>
      </c>
      <c r="B98" s="79">
        <v>16548352.119999999</v>
      </c>
      <c r="C98" s="79">
        <v>28610668.02</v>
      </c>
      <c r="D98" s="79">
        <v>1288816.02</v>
      </c>
      <c r="E98" s="79">
        <v>678179.28</v>
      </c>
      <c r="F98" s="66">
        <f t="shared" si="8"/>
        <v>47126015.440000005</v>
      </c>
      <c r="G98" s="80">
        <v>10</v>
      </c>
      <c r="H98" s="77" t="s">
        <v>38</v>
      </c>
      <c r="I98" s="64">
        <f t="shared" si="15"/>
        <v>4712601.5440000007</v>
      </c>
      <c r="J98" s="64">
        <v>19585435.550345998</v>
      </c>
      <c r="K98" s="64">
        <v>23525874.691441</v>
      </c>
      <c r="L98" s="64">
        <v>1379806.98673</v>
      </c>
      <c r="M98" s="64">
        <v>286435.558685</v>
      </c>
      <c r="N98" s="64">
        <f t="shared" si="17"/>
        <v>44777552.787202001</v>
      </c>
      <c r="O98" s="64">
        <v>10</v>
      </c>
      <c r="P98" s="64" t="s">
        <v>38</v>
      </c>
      <c r="Q98" s="64">
        <f t="shared" si="16"/>
        <v>4477755.2787202001</v>
      </c>
      <c r="R98" s="26">
        <f t="shared" si="12"/>
        <v>-4.9833677446972464</v>
      </c>
      <c r="S98" s="27" t="e">
        <f t="shared" si="13"/>
        <v>#VALUE!</v>
      </c>
      <c r="T98" s="28">
        <f t="shared" si="13"/>
        <v>-4.98336774469725</v>
      </c>
      <c r="U98" s="2">
        <v>538</v>
      </c>
    </row>
    <row r="99" spans="1:21" ht="63" x14ac:dyDescent="0.2">
      <c r="A99" s="63" t="s">
        <v>128</v>
      </c>
      <c r="B99" s="79">
        <v>16734150.380000001</v>
      </c>
      <c r="C99" s="79">
        <v>6464201.3499999996</v>
      </c>
      <c r="D99" s="79">
        <v>1344603.66</v>
      </c>
      <c r="E99" s="79">
        <v>1134250.8600000001</v>
      </c>
      <c r="F99" s="66">
        <f t="shared" si="8"/>
        <v>25677206.25</v>
      </c>
      <c r="G99" s="80">
        <v>19</v>
      </c>
      <c r="H99" s="77" t="s">
        <v>19</v>
      </c>
      <c r="I99" s="64">
        <f t="shared" si="15"/>
        <v>1351431.9078947369</v>
      </c>
      <c r="J99" s="64">
        <v>24886357.086201001</v>
      </c>
      <c r="K99" s="64">
        <v>308979.04319100006</v>
      </c>
      <c r="L99" s="64">
        <v>369393.20830199996</v>
      </c>
      <c r="M99" s="64">
        <v>281935.74910200003</v>
      </c>
      <c r="N99" s="64">
        <f t="shared" si="17"/>
        <v>25846665.086796001</v>
      </c>
      <c r="O99" s="64">
        <v>17</v>
      </c>
      <c r="P99" s="64" t="s">
        <v>19</v>
      </c>
      <c r="Q99" s="64">
        <f t="shared" si="16"/>
        <v>1520392.0639291764</v>
      </c>
      <c r="R99" s="26">
        <f t="shared" si="12"/>
        <v>0.65995823356367123</v>
      </c>
      <c r="S99" s="27" t="e">
        <f t="shared" si="13"/>
        <v>#VALUE!</v>
      </c>
      <c r="T99" s="28">
        <f t="shared" si="13"/>
        <v>12.502306261041744</v>
      </c>
      <c r="U99" s="2">
        <v>539</v>
      </c>
    </row>
    <row r="100" spans="1:21" ht="78.75" x14ac:dyDescent="0.2">
      <c r="A100" s="63" t="s">
        <v>129</v>
      </c>
      <c r="B100" s="79">
        <v>11264329.380000001</v>
      </c>
      <c r="C100" s="79">
        <v>961338.05</v>
      </c>
      <c r="D100" s="79">
        <v>1036503.44</v>
      </c>
      <c r="E100" s="79">
        <v>682732.97</v>
      </c>
      <c r="F100" s="66">
        <f t="shared" ref="F100:F200" si="18">SUM(B100:E100)</f>
        <v>13944903.840000002</v>
      </c>
      <c r="G100" s="80">
        <v>77</v>
      </c>
      <c r="H100" s="77" t="s">
        <v>38</v>
      </c>
      <c r="I100" s="64">
        <f t="shared" si="15"/>
        <v>181102.64727272731</v>
      </c>
      <c r="J100" s="64">
        <v>4000000.1006789971</v>
      </c>
      <c r="K100" s="64">
        <v>1345100.0003980026</v>
      </c>
      <c r="L100" s="64">
        <v>1107892.92</v>
      </c>
      <c r="M100" s="64">
        <v>375313.69485700002</v>
      </c>
      <c r="N100" s="64">
        <f t="shared" si="17"/>
        <v>6828306.715934</v>
      </c>
      <c r="O100" s="64">
        <v>82</v>
      </c>
      <c r="P100" s="64" t="s">
        <v>38</v>
      </c>
      <c r="Q100" s="64">
        <f t="shared" si="16"/>
        <v>83272.033121146334</v>
      </c>
      <c r="R100" s="26">
        <f t="shared" si="12"/>
        <v>-51.033676572602317</v>
      </c>
      <c r="S100" s="27" t="e">
        <f t="shared" si="13"/>
        <v>#VALUE!</v>
      </c>
      <c r="T100" s="28">
        <f t="shared" si="13"/>
        <v>-54.019428001102185</v>
      </c>
      <c r="U100" s="2">
        <v>540</v>
      </c>
    </row>
    <row r="101" spans="1:21" ht="47.25" x14ac:dyDescent="0.2">
      <c r="A101" s="63" t="s">
        <v>130</v>
      </c>
      <c r="B101" s="79">
        <v>1153091.6599999999</v>
      </c>
      <c r="C101" s="79">
        <v>328760.89</v>
      </c>
      <c r="D101" s="79">
        <v>91534.84</v>
      </c>
      <c r="E101" s="79">
        <v>65008.46</v>
      </c>
      <c r="F101" s="66">
        <f t="shared" si="18"/>
        <v>1638395.8499999999</v>
      </c>
      <c r="G101" s="80">
        <v>415061</v>
      </c>
      <c r="H101" s="77" t="s">
        <v>49</v>
      </c>
      <c r="I101" s="64">
        <f t="shared" si="15"/>
        <v>3.9473615926333716</v>
      </c>
      <c r="J101" s="64">
        <v>966269.23176700063</v>
      </c>
      <c r="K101" s="64">
        <v>685406.99907500017</v>
      </c>
      <c r="L101" s="64">
        <v>1229070.3928109999</v>
      </c>
      <c r="M101" s="64">
        <v>1027440.789029</v>
      </c>
      <c r="N101" s="64">
        <f t="shared" si="17"/>
        <v>3908187.4126820005</v>
      </c>
      <c r="O101" s="64">
        <v>703181</v>
      </c>
      <c r="P101" s="64" t="s">
        <v>49</v>
      </c>
      <c r="Q101" s="64">
        <f t="shared" si="16"/>
        <v>5.5578683335897878</v>
      </c>
      <c r="R101" s="26">
        <f t="shared" si="12"/>
        <v>138.53743359286469</v>
      </c>
      <c r="S101" s="27" t="e">
        <f t="shared" si="13"/>
        <v>#VALUE!</v>
      </c>
      <c r="T101" s="28">
        <f t="shared" si="13"/>
        <v>40.799574682034937</v>
      </c>
      <c r="U101" s="2">
        <v>541</v>
      </c>
    </row>
    <row r="102" spans="1:21" ht="31.5" x14ac:dyDescent="0.2">
      <c r="A102" s="63" t="s">
        <v>131</v>
      </c>
      <c r="B102" s="79">
        <v>759506.6</v>
      </c>
      <c r="C102" s="79">
        <v>301928.88</v>
      </c>
      <c r="D102" s="79">
        <v>64014.15</v>
      </c>
      <c r="E102" s="79">
        <v>41741.71</v>
      </c>
      <c r="F102" s="66">
        <f t="shared" si="18"/>
        <v>1167191.3399999999</v>
      </c>
      <c r="G102" s="80">
        <v>1</v>
      </c>
      <c r="H102" s="77" t="s">
        <v>19</v>
      </c>
      <c r="I102" s="64">
        <f t="shared" si="15"/>
        <v>1167191.3399999999</v>
      </c>
      <c r="J102" s="64">
        <v>203000</v>
      </c>
      <c r="K102" s="64">
        <v>788893.51129299996</v>
      </c>
      <c r="L102" s="64">
        <v>850198.33661499992</v>
      </c>
      <c r="M102" s="64">
        <v>604897.21373600001</v>
      </c>
      <c r="N102" s="64">
        <f t="shared" si="17"/>
        <v>2446989.061644</v>
      </c>
      <c r="O102" s="64">
        <v>3</v>
      </c>
      <c r="P102" s="64" t="s">
        <v>19</v>
      </c>
      <c r="Q102" s="64">
        <f t="shared" si="16"/>
        <v>815663.020548</v>
      </c>
      <c r="R102" s="26">
        <f t="shared" si="12"/>
        <v>109.64763683424866</v>
      </c>
      <c r="S102" s="27" t="e">
        <f t="shared" si="13"/>
        <v>#VALUE!</v>
      </c>
      <c r="T102" s="28">
        <f t="shared" si="13"/>
        <v>-30.117454388583788</v>
      </c>
      <c r="U102" s="2">
        <v>542</v>
      </c>
    </row>
    <row r="103" spans="1:21" ht="31.5" x14ac:dyDescent="0.2">
      <c r="A103" s="63" t="s">
        <v>132</v>
      </c>
      <c r="B103" s="79">
        <v>649957.13</v>
      </c>
      <c r="C103" s="79">
        <v>304386.28000000003</v>
      </c>
      <c r="D103" s="79">
        <v>43554.9</v>
      </c>
      <c r="E103" s="79">
        <v>36805.86</v>
      </c>
      <c r="F103" s="66">
        <f t="shared" si="18"/>
        <v>1034704.17</v>
      </c>
      <c r="G103" s="80">
        <v>1</v>
      </c>
      <c r="H103" s="77" t="s">
        <v>56</v>
      </c>
      <c r="I103" s="64">
        <f t="shared" si="15"/>
        <v>1034704.17</v>
      </c>
      <c r="J103" s="64">
        <v>986497.82851599995</v>
      </c>
      <c r="K103" s="64">
        <v>230350.84450000001</v>
      </c>
      <c r="L103" s="64">
        <v>88452.850684000005</v>
      </c>
      <c r="M103" s="64">
        <v>55090.113642000004</v>
      </c>
      <c r="N103" s="64">
        <f t="shared" si="17"/>
        <v>1360391.6373419999</v>
      </c>
      <c r="O103" s="64">
        <v>2</v>
      </c>
      <c r="P103" s="64" t="s">
        <v>56</v>
      </c>
      <c r="Q103" s="64">
        <f t="shared" si="16"/>
        <v>680195.81867099996</v>
      </c>
      <c r="R103" s="26">
        <f t="shared" si="12"/>
        <v>31.476384920918974</v>
      </c>
      <c r="S103" s="27" t="e">
        <f t="shared" si="13"/>
        <v>#VALUE!</v>
      </c>
      <c r="T103" s="28">
        <f t="shared" si="13"/>
        <v>-34.261807539540513</v>
      </c>
      <c r="U103" s="2">
        <v>543</v>
      </c>
    </row>
    <row r="104" spans="1:21" ht="47.25" x14ac:dyDescent="0.2">
      <c r="A104" s="63" t="s">
        <v>133</v>
      </c>
      <c r="B104" s="79">
        <v>2536321.25</v>
      </c>
      <c r="C104" s="79">
        <v>365535.31</v>
      </c>
      <c r="D104" s="79">
        <v>240971.08</v>
      </c>
      <c r="E104" s="79">
        <v>155380.93</v>
      </c>
      <c r="F104" s="66">
        <f t="shared" si="18"/>
        <v>3298208.5700000003</v>
      </c>
      <c r="G104" s="80">
        <v>32</v>
      </c>
      <c r="H104" s="77" t="s">
        <v>134</v>
      </c>
      <c r="I104" s="64">
        <f t="shared" si="15"/>
        <v>103069.01781250001</v>
      </c>
      <c r="J104" s="64">
        <v>9520219.9443650004</v>
      </c>
      <c r="K104" s="64">
        <v>234053.62738199998</v>
      </c>
      <c r="L104" s="64">
        <v>56982.982436999999</v>
      </c>
      <c r="M104" s="64">
        <v>39301.281840999996</v>
      </c>
      <c r="N104" s="64">
        <f t="shared" si="17"/>
        <v>9850557.8360250015</v>
      </c>
      <c r="O104" s="64">
        <v>86</v>
      </c>
      <c r="P104" s="64" t="s">
        <v>100</v>
      </c>
      <c r="Q104" s="64">
        <f t="shared" si="16"/>
        <v>114541.37018633723</v>
      </c>
      <c r="R104" s="26">
        <f t="shared" si="12"/>
        <v>198.66388455915634</v>
      </c>
      <c r="S104" s="27" t="e">
        <f t="shared" si="13"/>
        <v>#VALUE!</v>
      </c>
      <c r="T104" s="28">
        <f t="shared" si="13"/>
        <v>11.130747742941887</v>
      </c>
      <c r="U104" s="2">
        <v>544</v>
      </c>
    </row>
    <row r="105" spans="1:21" ht="31.5" x14ac:dyDescent="0.2">
      <c r="A105" s="63" t="s">
        <v>135</v>
      </c>
      <c r="B105" s="79">
        <v>1882008.64</v>
      </c>
      <c r="C105" s="79">
        <v>453169.8</v>
      </c>
      <c r="D105" s="79">
        <v>110659.01</v>
      </c>
      <c r="E105" s="79">
        <v>140230.23000000001</v>
      </c>
      <c r="F105" s="66">
        <f t="shared" si="18"/>
        <v>2586067.6799999997</v>
      </c>
      <c r="G105" s="80">
        <v>5</v>
      </c>
      <c r="H105" s="77" t="s">
        <v>100</v>
      </c>
      <c r="I105" s="64">
        <f t="shared" si="15"/>
        <v>517213.53599999996</v>
      </c>
      <c r="J105" s="294" t="s">
        <v>27</v>
      </c>
      <c r="K105" s="295"/>
      <c r="L105" s="295"/>
      <c r="M105" s="295"/>
      <c r="N105" s="295"/>
      <c r="O105" s="295"/>
      <c r="P105" s="295"/>
      <c r="Q105" s="296"/>
      <c r="R105" s="26">
        <f t="shared" si="12"/>
        <v>-100</v>
      </c>
      <c r="S105" s="27" t="e">
        <f t="shared" si="13"/>
        <v>#VALUE!</v>
      </c>
      <c r="T105" s="28">
        <f t="shared" si="13"/>
        <v>-100</v>
      </c>
      <c r="U105" s="2">
        <v>545</v>
      </c>
    </row>
    <row r="106" spans="1:21" x14ac:dyDescent="0.2">
      <c r="A106" s="63" t="s">
        <v>136</v>
      </c>
      <c r="B106" s="79">
        <v>872209.48</v>
      </c>
      <c r="C106" s="79">
        <v>340436.28</v>
      </c>
      <c r="D106" s="79">
        <v>57647.39</v>
      </c>
      <c r="E106" s="79">
        <v>52078.6</v>
      </c>
      <c r="F106" s="66">
        <f t="shared" si="18"/>
        <v>1322371.75</v>
      </c>
      <c r="G106" s="80">
        <v>3</v>
      </c>
      <c r="H106" s="77" t="s">
        <v>56</v>
      </c>
      <c r="I106" s="64">
        <f t="shared" si="15"/>
        <v>440790.58333333331</v>
      </c>
      <c r="J106" s="64">
        <v>500941.14869399997</v>
      </c>
      <c r="K106" s="64">
        <v>207313.32509099998</v>
      </c>
      <c r="L106" s="64">
        <v>52374.143602000004</v>
      </c>
      <c r="M106" s="64">
        <v>32172.509071</v>
      </c>
      <c r="N106" s="64">
        <f>SUM(J106:M106)</f>
        <v>792801.12645799993</v>
      </c>
      <c r="O106" s="64">
        <v>3</v>
      </c>
      <c r="P106" s="64" t="s">
        <v>56</v>
      </c>
      <c r="Q106" s="64">
        <f t="shared" ref="Q106:Q117" si="19">N106/O106</f>
        <v>264267.04215266666</v>
      </c>
      <c r="R106" s="26">
        <f t="shared" si="12"/>
        <v>-40.047030915625662</v>
      </c>
      <c r="S106" s="27" t="e">
        <f t="shared" si="13"/>
        <v>#VALUE!</v>
      </c>
      <c r="T106" s="28">
        <f t="shared" si="13"/>
        <v>-40.047030915625655</v>
      </c>
      <c r="U106" s="2">
        <v>546</v>
      </c>
    </row>
    <row r="107" spans="1:21" ht="63" x14ac:dyDescent="0.2">
      <c r="A107" s="63" t="s">
        <v>137</v>
      </c>
      <c r="B107" s="79">
        <v>574004.71</v>
      </c>
      <c r="C107" s="79">
        <v>298481.14</v>
      </c>
      <c r="D107" s="79">
        <v>41176.33</v>
      </c>
      <c r="E107" s="79">
        <v>30017.29</v>
      </c>
      <c r="F107" s="66">
        <f t="shared" si="18"/>
        <v>943679.47</v>
      </c>
      <c r="G107" s="80">
        <v>1</v>
      </c>
      <c r="H107" s="77" t="s">
        <v>19</v>
      </c>
      <c r="I107" s="64">
        <f t="shared" si="15"/>
        <v>943679.47</v>
      </c>
      <c r="J107" s="64">
        <v>965392.5510069998</v>
      </c>
      <c r="K107" s="64">
        <v>240934.39370899997</v>
      </c>
      <c r="L107" s="64">
        <v>202553.17670200003</v>
      </c>
      <c r="M107" s="64">
        <v>144368.12043700001</v>
      </c>
      <c r="N107" s="64">
        <f t="shared" ref="N107:N117" si="20">SUM(J107:M107)</f>
        <v>1553248.2418549997</v>
      </c>
      <c r="O107" s="64">
        <v>3</v>
      </c>
      <c r="P107" s="64" t="s">
        <v>19</v>
      </c>
      <c r="Q107" s="64">
        <f t="shared" si="19"/>
        <v>517749.41395166656</v>
      </c>
      <c r="R107" s="26">
        <f t="shared" si="12"/>
        <v>64.594895961337357</v>
      </c>
      <c r="S107" s="27" t="e">
        <f t="shared" si="13"/>
        <v>#VALUE!</v>
      </c>
      <c r="T107" s="28">
        <f t="shared" si="13"/>
        <v>-45.135034679554217</v>
      </c>
      <c r="U107" s="2">
        <v>547</v>
      </c>
    </row>
    <row r="108" spans="1:21" ht="63" x14ac:dyDescent="0.2">
      <c r="A108" s="63" t="s">
        <v>138</v>
      </c>
      <c r="B108" s="79">
        <v>3353615.26</v>
      </c>
      <c r="C108" s="79">
        <v>6399502.5700000003</v>
      </c>
      <c r="D108" s="79">
        <v>258713.46</v>
      </c>
      <c r="E108" s="79">
        <v>122741.96</v>
      </c>
      <c r="F108" s="66">
        <f t="shared" si="18"/>
        <v>10134573.250000002</v>
      </c>
      <c r="G108" s="80">
        <v>74</v>
      </c>
      <c r="H108" s="77" t="s">
        <v>84</v>
      </c>
      <c r="I108" s="64">
        <f t="shared" si="15"/>
        <v>136953.6925675676</v>
      </c>
      <c r="J108" s="64">
        <v>5730397.008684</v>
      </c>
      <c r="K108" s="64">
        <v>353795.61224599998</v>
      </c>
      <c r="L108" s="64">
        <v>154438.403593</v>
      </c>
      <c r="M108" s="64">
        <v>132052.10848300002</v>
      </c>
      <c r="N108" s="64">
        <f t="shared" si="20"/>
        <v>6370683.133006</v>
      </c>
      <c r="O108" s="64">
        <v>63</v>
      </c>
      <c r="P108" s="64" t="s">
        <v>84</v>
      </c>
      <c r="Q108" s="64">
        <f t="shared" si="19"/>
        <v>101121.95449215874</v>
      </c>
      <c r="R108" s="26">
        <f t="shared" si="12"/>
        <v>-37.139108121735674</v>
      </c>
      <c r="S108" s="27" t="e">
        <f t="shared" si="13"/>
        <v>#VALUE!</v>
      </c>
      <c r="T108" s="28">
        <f t="shared" si="13"/>
        <v>-26.163396841403809</v>
      </c>
      <c r="U108" s="2">
        <v>548</v>
      </c>
    </row>
    <row r="109" spans="1:21" ht="47.25" x14ac:dyDescent="0.2">
      <c r="A109" s="63" t="s">
        <v>139</v>
      </c>
      <c r="B109" s="79">
        <v>3495399.72</v>
      </c>
      <c r="C109" s="79">
        <v>4014231.04</v>
      </c>
      <c r="D109" s="79">
        <v>273812.59000000003</v>
      </c>
      <c r="E109" s="79">
        <v>177997.79</v>
      </c>
      <c r="F109" s="66">
        <f t="shared" si="18"/>
        <v>7961441.1399999997</v>
      </c>
      <c r="G109" s="80">
        <v>130</v>
      </c>
      <c r="H109" s="77" t="s">
        <v>34</v>
      </c>
      <c r="I109" s="64">
        <f t="shared" si="15"/>
        <v>61241.85492307692</v>
      </c>
      <c r="J109" s="64">
        <v>4717698.0585629996</v>
      </c>
      <c r="K109" s="64">
        <v>244270.225294</v>
      </c>
      <c r="L109" s="64">
        <v>68637.472134999989</v>
      </c>
      <c r="M109" s="64">
        <v>46149.673427000002</v>
      </c>
      <c r="N109" s="64">
        <f t="shared" si="20"/>
        <v>5076755.4294189988</v>
      </c>
      <c r="O109" s="64">
        <v>145</v>
      </c>
      <c r="P109" s="77" t="s">
        <v>34</v>
      </c>
      <c r="Q109" s="64">
        <f t="shared" si="19"/>
        <v>35012.106409786196</v>
      </c>
      <c r="R109" s="26">
        <f t="shared" si="12"/>
        <v>-36.233210292640571</v>
      </c>
      <c r="S109" s="27" t="e">
        <f t="shared" si="13"/>
        <v>#VALUE!</v>
      </c>
      <c r="T109" s="28">
        <f t="shared" si="13"/>
        <v>-42.829774745126038</v>
      </c>
      <c r="U109" s="2">
        <v>549</v>
      </c>
    </row>
    <row r="110" spans="1:21" ht="47.25" x14ac:dyDescent="0.2">
      <c r="A110" s="63" t="s">
        <v>140</v>
      </c>
      <c r="B110" s="79">
        <v>3260763.83</v>
      </c>
      <c r="C110" s="79">
        <v>4196773.18</v>
      </c>
      <c r="D110" s="79">
        <v>261767.8</v>
      </c>
      <c r="E110" s="79">
        <v>168957.88</v>
      </c>
      <c r="F110" s="66">
        <f t="shared" si="18"/>
        <v>7888262.6899999995</v>
      </c>
      <c r="G110" s="80">
        <v>13</v>
      </c>
      <c r="H110" s="77" t="s">
        <v>38</v>
      </c>
      <c r="I110" s="64">
        <f t="shared" si="15"/>
        <v>606789.43769230763</v>
      </c>
      <c r="J110" s="64">
        <v>3500770.554796</v>
      </c>
      <c r="K110" s="64">
        <v>3839561.6630549999</v>
      </c>
      <c r="L110" s="64">
        <v>284193.16254799999</v>
      </c>
      <c r="M110" s="64">
        <v>145656.775395</v>
      </c>
      <c r="N110" s="64">
        <f t="shared" si="20"/>
        <v>7770182.1557940003</v>
      </c>
      <c r="O110" s="64">
        <v>13</v>
      </c>
      <c r="P110" s="64" t="s">
        <v>38</v>
      </c>
      <c r="Q110" s="64">
        <f t="shared" si="19"/>
        <v>597706.31967646151</v>
      </c>
      <c r="R110" s="26">
        <f t="shared" si="12"/>
        <v>-1.4969143250730059</v>
      </c>
      <c r="S110" s="27" t="e">
        <f t="shared" si="13"/>
        <v>#VALUE!</v>
      </c>
      <c r="T110" s="28">
        <f t="shared" si="13"/>
        <v>-1.4969143250730101</v>
      </c>
      <c r="U110" s="2">
        <v>550</v>
      </c>
    </row>
    <row r="111" spans="1:21" ht="31.5" x14ac:dyDescent="0.2">
      <c r="A111" s="63" t="s">
        <v>141</v>
      </c>
      <c r="B111" s="79">
        <v>1162004.55</v>
      </c>
      <c r="C111" s="79">
        <v>1606504.58</v>
      </c>
      <c r="D111" s="79">
        <v>90266.72</v>
      </c>
      <c r="E111" s="79">
        <v>47533.46</v>
      </c>
      <c r="F111" s="66">
        <f t="shared" si="18"/>
        <v>2906309.31</v>
      </c>
      <c r="G111" s="80">
        <v>3</v>
      </c>
      <c r="H111" s="77" t="s">
        <v>32</v>
      </c>
      <c r="I111" s="64">
        <f t="shared" si="15"/>
        <v>968769.77</v>
      </c>
      <c r="J111" s="64">
        <v>3174945.9547000001</v>
      </c>
      <c r="K111" s="64">
        <v>5434774.0188150005</v>
      </c>
      <c r="L111" s="64">
        <v>224306.74858200003</v>
      </c>
      <c r="M111" s="64">
        <v>55326.489067000002</v>
      </c>
      <c r="N111" s="64">
        <f t="shared" si="20"/>
        <v>8889353.2111639995</v>
      </c>
      <c r="O111" s="64">
        <v>9</v>
      </c>
      <c r="P111" s="64" t="s">
        <v>32</v>
      </c>
      <c r="Q111" s="64">
        <f t="shared" si="19"/>
        <v>987705.91235155554</v>
      </c>
      <c r="R111" s="26">
        <f t="shared" si="12"/>
        <v>205.86397602545611</v>
      </c>
      <c r="S111" s="27" t="e">
        <f t="shared" si="13"/>
        <v>#VALUE!</v>
      </c>
      <c r="T111" s="28">
        <f t="shared" si="13"/>
        <v>1.9546586751520458</v>
      </c>
      <c r="U111" s="2">
        <v>551</v>
      </c>
    </row>
    <row r="112" spans="1:21" x14ac:dyDescent="0.2">
      <c r="A112" s="63" t="s">
        <v>142</v>
      </c>
      <c r="B112" s="79">
        <v>4342251.43</v>
      </c>
      <c r="C112" s="79">
        <v>237449.19</v>
      </c>
      <c r="D112" s="79">
        <v>430252.51</v>
      </c>
      <c r="E112" s="79">
        <v>273296.94</v>
      </c>
      <c r="F112" s="66">
        <f t="shared" si="18"/>
        <v>5283250.07</v>
      </c>
      <c r="G112" s="80">
        <v>4</v>
      </c>
      <c r="H112" s="77" t="s">
        <v>52</v>
      </c>
      <c r="I112" s="64">
        <f t="shared" si="15"/>
        <v>1320812.5175000001</v>
      </c>
      <c r="J112" s="64">
        <v>3325020.5088959993</v>
      </c>
      <c r="K112" s="64">
        <v>3446122.2815729999</v>
      </c>
      <c r="L112" s="64">
        <v>238140.32375400004</v>
      </c>
      <c r="M112" s="64">
        <v>128411.68742899998</v>
      </c>
      <c r="N112" s="64">
        <f t="shared" si="20"/>
        <v>7137694.8016519994</v>
      </c>
      <c r="O112" s="64">
        <v>10</v>
      </c>
      <c r="P112" s="64" t="s">
        <v>52</v>
      </c>
      <c r="Q112" s="64">
        <f t="shared" si="19"/>
        <v>713769.48016519996</v>
      </c>
      <c r="R112" s="26">
        <f t="shared" si="12"/>
        <v>35.100453453493245</v>
      </c>
      <c r="S112" s="27" t="e">
        <f t="shared" si="13"/>
        <v>#VALUE!</v>
      </c>
      <c r="T112" s="28">
        <f t="shared" si="13"/>
        <v>-45.959818618602704</v>
      </c>
      <c r="U112" s="2">
        <v>552</v>
      </c>
    </row>
    <row r="113" spans="1:21" ht="63" x14ac:dyDescent="0.2">
      <c r="A113" s="63" t="s">
        <v>143</v>
      </c>
      <c r="B113" s="65">
        <v>47230898.850000001</v>
      </c>
      <c r="C113" s="65">
        <v>7640367.71</v>
      </c>
      <c r="D113" s="65">
        <v>4501935.2</v>
      </c>
      <c r="E113" s="65">
        <v>4001752.73</v>
      </c>
      <c r="F113" s="66">
        <f t="shared" si="18"/>
        <v>63374954.490000002</v>
      </c>
      <c r="G113" s="67">
        <v>51</v>
      </c>
      <c r="H113" s="68" t="s">
        <v>144</v>
      </c>
      <c r="I113" s="64">
        <f t="shared" si="15"/>
        <v>1242646.1664705882</v>
      </c>
      <c r="J113" s="64">
        <v>42477780.214318991</v>
      </c>
      <c r="K113" s="64">
        <v>4274154.3410220006</v>
      </c>
      <c r="L113" s="64">
        <v>3164909.2459959988</v>
      </c>
      <c r="M113" s="64">
        <v>2366480.8695619996</v>
      </c>
      <c r="N113" s="64">
        <f t="shared" si="20"/>
        <v>52283324.670898989</v>
      </c>
      <c r="O113" s="64">
        <v>40</v>
      </c>
      <c r="P113" s="64" t="s">
        <v>144</v>
      </c>
      <c r="Q113" s="64">
        <f t="shared" si="19"/>
        <v>1307083.1167724747</v>
      </c>
      <c r="R113" s="26">
        <f t="shared" si="12"/>
        <v>-17.501598081385879</v>
      </c>
      <c r="S113" s="27" t="e">
        <f t="shared" si="13"/>
        <v>#VALUE!</v>
      </c>
      <c r="T113" s="28">
        <f t="shared" si="13"/>
        <v>5.1854624462330143</v>
      </c>
      <c r="U113" s="2">
        <v>601</v>
      </c>
    </row>
    <row r="114" spans="1:21" ht="47.25" x14ac:dyDescent="0.2">
      <c r="A114" s="63" t="s">
        <v>145</v>
      </c>
      <c r="B114" s="65">
        <v>30326056.350000001</v>
      </c>
      <c r="C114" s="65">
        <v>480271.2</v>
      </c>
      <c r="D114" s="65">
        <v>551433.06999999995</v>
      </c>
      <c r="E114" s="65">
        <v>925319.07</v>
      </c>
      <c r="F114" s="66">
        <f t="shared" si="18"/>
        <v>32283079.690000001</v>
      </c>
      <c r="G114" s="67">
        <v>21</v>
      </c>
      <c r="H114" s="68" t="s">
        <v>146</v>
      </c>
      <c r="I114" s="64">
        <f t="shared" si="15"/>
        <v>1537289.5090476191</v>
      </c>
      <c r="J114" s="64">
        <v>9826741.0803139992</v>
      </c>
      <c r="K114" s="64">
        <v>514389.768454</v>
      </c>
      <c r="L114" s="64">
        <v>552337.37768200005</v>
      </c>
      <c r="M114" s="64">
        <v>1754810.9483089999</v>
      </c>
      <c r="N114" s="64">
        <f t="shared" si="20"/>
        <v>12648279.174759001</v>
      </c>
      <c r="O114" s="64">
        <v>10</v>
      </c>
      <c r="P114" s="64" t="s">
        <v>146</v>
      </c>
      <c r="Q114" s="64">
        <f t="shared" si="19"/>
        <v>1264827.9174759001</v>
      </c>
      <c r="R114" s="26">
        <f t="shared" si="12"/>
        <v>-60.820716932167628</v>
      </c>
      <c r="S114" s="27" t="e">
        <f t="shared" si="13"/>
        <v>#VALUE!</v>
      </c>
      <c r="T114" s="28">
        <f t="shared" si="13"/>
        <v>-17.72350555755202</v>
      </c>
      <c r="U114" s="2">
        <v>602</v>
      </c>
    </row>
    <row r="115" spans="1:21" ht="31.5" x14ac:dyDescent="0.2">
      <c r="A115" s="63" t="s">
        <v>147</v>
      </c>
      <c r="B115" s="65">
        <v>10907194.57</v>
      </c>
      <c r="C115" s="65">
        <v>868042.65</v>
      </c>
      <c r="D115" s="65">
        <v>803882.19</v>
      </c>
      <c r="E115" s="65">
        <v>619597.5</v>
      </c>
      <c r="F115" s="66">
        <f t="shared" si="18"/>
        <v>13198716.91</v>
      </c>
      <c r="G115" s="67">
        <v>1</v>
      </c>
      <c r="H115" s="68" t="s">
        <v>19</v>
      </c>
      <c r="I115" s="64">
        <f t="shared" si="15"/>
        <v>13198716.91</v>
      </c>
      <c r="J115" s="64">
        <v>10490788.410467001</v>
      </c>
      <c r="K115" s="64">
        <v>1199228.8491410001</v>
      </c>
      <c r="L115" s="64">
        <v>719281.08481700008</v>
      </c>
      <c r="M115" s="64">
        <v>530063.06302100001</v>
      </c>
      <c r="N115" s="64">
        <f t="shared" si="20"/>
        <v>12939361.407446001</v>
      </c>
      <c r="O115" s="64">
        <v>2</v>
      </c>
      <c r="P115" s="64" t="s">
        <v>19</v>
      </c>
      <c r="Q115" s="64">
        <f t="shared" si="19"/>
        <v>6469680.7037230004</v>
      </c>
      <c r="R115" s="26">
        <f t="shared" si="12"/>
        <v>-1.9650054192578286</v>
      </c>
      <c r="S115" s="27" t="e">
        <f t="shared" si="13"/>
        <v>#VALUE!</v>
      </c>
      <c r="T115" s="28">
        <f t="shared" si="13"/>
        <v>-50.982502709628918</v>
      </c>
      <c r="U115" s="2">
        <v>603</v>
      </c>
    </row>
    <row r="116" spans="1:21" ht="31.5" x14ac:dyDescent="0.2">
      <c r="A116" s="63" t="s">
        <v>148</v>
      </c>
      <c r="B116" s="65">
        <v>944373.57</v>
      </c>
      <c r="C116" s="65">
        <v>132940.94</v>
      </c>
      <c r="D116" s="65">
        <v>93370.14</v>
      </c>
      <c r="E116" s="65">
        <v>49147.1</v>
      </c>
      <c r="F116" s="66">
        <f t="shared" si="18"/>
        <v>1219831.75</v>
      </c>
      <c r="G116" s="67">
        <v>6</v>
      </c>
      <c r="H116" s="68" t="s">
        <v>144</v>
      </c>
      <c r="I116" s="64">
        <f t="shared" si="15"/>
        <v>203305.29166666666</v>
      </c>
      <c r="J116" s="64">
        <v>779676.73845999991</v>
      </c>
      <c r="K116" s="64">
        <v>34930.640208999997</v>
      </c>
      <c r="L116" s="64">
        <v>72658.145898000002</v>
      </c>
      <c r="M116" s="64">
        <v>36305.806705000003</v>
      </c>
      <c r="N116" s="64">
        <f t="shared" si="20"/>
        <v>923571.33127199986</v>
      </c>
      <c r="O116" s="64">
        <v>6</v>
      </c>
      <c r="P116" s="64" t="s">
        <v>144</v>
      </c>
      <c r="Q116" s="64">
        <f t="shared" si="19"/>
        <v>153928.55521199998</v>
      </c>
      <c r="R116" s="26">
        <f t="shared" si="12"/>
        <v>-24.286990294194272</v>
      </c>
      <c r="S116" s="27" t="e">
        <f t="shared" si="13"/>
        <v>#VALUE!</v>
      </c>
      <c r="T116" s="28">
        <f t="shared" si="13"/>
        <v>-24.286990294194268</v>
      </c>
      <c r="U116" s="2">
        <v>604</v>
      </c>
    </row>
    <row r="117" spans="1:21" ht="16.5" customHeight="1" x14ac:dyDescent="0.2">
      <c r="A117" s="63" t="s">
        <v>149</v>
      </c>
      <c r="B117" s="65">
        <v>16049804.52</v>
      </c>
      <c r="C117" s="65">
        <v>622639.67000000004</v>
      </c>
      <c r="D117" s="65">
        <v>597890.53</v>
      </c>
      <c r="E117" s="65">
        <v>586231.84</v>
      </c>
      <c r="F117" s="66">
        <f t="shared" si="18"/>
        <v>17856566.559999999</v>
      </c>
      <c r="G117" s="67">
        <v>5</v>
      </c>
      <c r="H117" s="68" t="s">
        <v>144</v>
      </c>
      <c r="I117" s="64">
        <f t="shared" si="15"/>
        <v>3571313.3119999999</v>
      </c>
      <c r="J117" s="64">
        <v>15300618.852655999</v>
      </c>
      <c r="K117" s="64">
        <v>3605958.99975</v>
      </c>
      <c r="L117" s="64">
        <v>592855.66815000004</v>
      </c>
      <c r="M117" s="64">
        <v>435227.50821</v>
      </c>
      <c r="N117" s="64">
        <f t="shared" si="20"/>
        <v>19934661.028765999</v>
      </c>
      <c r="O117" s="64">
        <v>10</v>
      </c>
      <c r="P117" s="64" t="s">
        <v>144</v>
      </c>
      <c r="Q117" s="64">
        <f t="shared" si="19"/>
        <v>1993466.1028765999</v>
      </c>
      <c r="R117" s="26">
        <f t="shared" si="12"/>
        <v>11.63770460454073</v>
      </c>
      <c r="S117" s="27" t="e">
        <f t="shared" si="13"/>
        <v>#VALUE!</v>
      </c>
      <c r="T117" s="28">
        <f t="shared" si="13"/>
        <v>-44.181147697729642</v>
      </c>
      <c r="U117" s="2">
        <v>605</v>
      </c>
    </row>
    <row r="118" spans="1:21" ht="47.25" x14ac:dyDescent="0.2">
      <c r="A118" s="63" t="s">
        <v>150</v>
      </c>
      <c r="B118" s="65">
        <v>207181.57</v>
      </c>
      <c r="C118" s="65">
        <v>75418.880000000005</v>
      </c>
      <c r="D118" s="65">
        <v>25374.98</v>
      </c>
      <c r="E118" s="65">
        <v>2378.5</v>
      </c>
      <c r="F118" s="66">
        <f t="shared" si="18"/>
        <v>310353.93</v>
      </c>
      <c r="G118" s="67">
        <v>6</v>
      </c>
      <c r="H118" s="68" t="s">
        <v>144</v>
      </c>
      <c r="I118" s="64">
        <f t="shared" si="15"/>
        <v>51725.654999999999</v>
      </c>
      <c r="J118" s="294" t="s">
        <v>27</v>
      </c>
      <c r="K118" s="295"/>
      <c r="L118" s="295"/>
      <c r="M118" s="295"/>
      <c r="N118" s="295"/>
      <c r="O118" s="295"/>
      <c r="P118" s="295"/>
      <c r="Q118" s="296"/>
      <c r="R118" s="26">
        <f t="shared" si="12"/>
        <v>-100</v>
      </c>
      <c r="S118" s="27" t="e">
        <f t="shared" si="13"/>
        <v>#VALUE!</v>
      </c>
      <c r="T118" s="28">
        <f t="shared" si="13"/>
        <v>-100</v>
      </c>
      <c r="U118" s="2">
        <v>606</v>
      </c>
    </row>
    <row r="119" spans="1:21" ht="63" x14ac:dyDescent="0.2">
      <c r="A119" s="63" t="s">
        <v>151</v>
      </c>
      <c r="B119" s="297" t="s">
        <v>26</v>
      </c>
      <c r="C119" s="298"/>
      <c r="D119" s="298"/>
      <c r="E119" s="298"/>
      <c r="F119" s="298"/>
      <c r="G119" s="298"/>
      <c r="H119" s="298"/>
      <c r="I119" s="299"/>
      <c r="J119" s="64">
        <v>693141.49411999993</v>
      </c>
      <c r="K119" s="64">
        <v>0</v>
      </c>
      <c r="L119" s="64">
        <v>49257.447423999998</v>
      </c>
      <c r="M119" s="64">
        <v>254147.861244</v>
      </c>
      <c r="N119" s="64">
        <f>SUM(J119:M119)</f>
        <v>996546.80278799997</v>
      </c>
      <c r="O119" s="64">
        <v>112</v>
      </c>
      <c r="P119" s="64" t="s">
        <v>34</v>
      </c>
      <c r="Q119" s="64">
        <f>N119/O119</f>
        <v>8897.7393106071431</v>
      </c>
      <c r="R119" s="26" t="e">
        <f t="shared" si="12"/>
        <v>#DIV/0!</v>
      </c>
      <c r="S119" s="27" t="e">
        <f t="shared" si="13"/>
        <v>#VALUE!</v>
      </c>
      <c r="T119" s="28" t="e">
        <f t="shared" si="13"/>
        <v>#DIV/0!</v>
      </c>
    </row>
    <row r="120" spans="1:21" ht="47.25" x14ac:dyDescent="0.2">
      <c r="A120" s="63" t="s">
        <v>152</v>
      </c>
      <c r="B120" s="79">
        <v>1948283.41</v>
      </c>
      <c r="C120" s="79">
        <v>87186.67</v>
      </c>
      <c r="D120" s="79">
        <v>81219.66</v>
      </c>
      <c r="E120" s="79">
        <v>8627.82</v>
      </c>
      <c r="F120" s="81">
        <f t="shared" si="18"/>
        <v>2125317.5599999996</v>
      </c>
      <c r="G120" s="80">
        <v>5</v>
      </c>
      <c r="H120" s="77" t="s">
        <v>153</v>
      </c>
      <c r="I120" s="64">
        <f t="shared" si="15"/>
        <v>425063.51199999993</v>
      </c>
      <c r="J120" s="64">
        <v>2124930.58806</v>
      </c>
      <c r="K120" s="64">
        <v>266167.35959999997</v>
      </c>
      <c r="L120" s="64">
        <v>105984.192362</v>
      </c>
      <c r="M120" s="64">
        <v>34072.991371999997</v>
      </c>
      <c r="N120" s="64">
        <f>SUM(J120:M120)</f>
        <v>2531155.1313940003</v>
      </c>
      <c r="O120" s="64">
        <v>5</v>
      </c>
      <c r="P120" s="77" t="s">
        <v>153</v>
      </c>
      <c r="Q120" s="64">
        <f>N120/O120</f>
        <v>506231.02627880004</v>
      </c>
      <c r="R120" s="26">
        <f t="shared" si="12"/>
        <v>19.095385039495028</v>
      </c>
      <c r="S120" s="27" t="e">
        <f t="shared" si="13"/>
        <v>#VALUE!</v>
      </c>
      <c r="T120" s="28">
        <f t="shared" si="13"/>
        <v>19.095385039495021</v>
      </c>
      <c r="U120" s="2">
        <v>607</v>
      </c>
    </row>
    <row r="121" spans="1:21" ht="33.75" customHeight="1" x14ac:dyDescent="0.2">
      <c r="A121" s="63" t="s">
        <v>154</v>
      </c>
      <c r="B121" s="79">
        <v>2618423.1800000002</v>
      </c>
      <c r="C121" s="79">
        <v>123282.28</v>
      </c>
      <c r="D121" s="79">
        <v>106422.21</v>
      </c>
      <c r="E121" s="79">
        <v>51719.62</v>
      </c>
      <c r="F121" s="81">
        <f t="shared" si="18"/>
        <v>2899847.29</v>
      </c>
      <c r="G121" s="80">
        <v>19</v>
      </c>
      <c r="H121" s="77" t="s">
        <v>73</v>
      </c>
      <c r="I121" s="64">
        <f t="shared" si="15"/>
        <v>152623.54157894736</v>
      </c>
      <c r="J121" s="64">
        <v>2808830.175572</v>
      </c>
      <c r="K121" s="64">
        <v>348605.77033200004</v>
      </c>
      <c r="L121" s="64">
        <v>151303.87042200001</v>
      </c>
      <c r="M121" s="64">
        <v>77237.702775999991</v>
      </c>
      <c r="N121" s="64">
        <f>SUM(J121:M121)</f>
        <v>3385977.5191020002</v>
      </c>
      <c r="O121" s="64">
        <v>19</v>
      </c>
      <c r="P121" s="77" t="s">
        <v>73</v>
      </c>
      <c r="Q121" s="64">
        <f>N121/O121</f>
        <v>178209.3431106316</v>
      </c>
      <c r="R121" s="26">
        <f t="shared" si="12"/>
        <v>16.76399411715229</v>
      </c>
      <c r="S121" s="27" t="e">
        <f t="shared" si="13"/>
        <v>#VALUE!</v>
      </c>
      <c r="T121" s="28">
        <f t="shared" si="13"/>
        <v>16.763994117152304</v>
      </c>
      <c r="U121" s="2">
        <v>608</v>
      </c>
    </row>
    <row r="122" spans="1:21" ht="31.5" x14ac:dyDescent="0.2">
      <c r="A122" s="63" t="s">
        <v>155</v>
      </c>
      <c r="B122" s="79">
        <v>16818586.260000002</v>
      </c>
      <c r="C122" s="79">
        <v>4395514.21</v>
      </c>
      <c r="D122" s="79">
        <v>1095965.21</v>
      </c>
      <c r="E122" s="79">
        <v>992285.43</v>
      </c>
      <c r="F122" s="81">
        <f t="shared" si="18"/>
        <v>23302351.110000003</v>
      </c>
      <c r="G122" s="80">
        <v>22</v>
      </c>
      <c r="H122" s="77" t="s">
        <v>73</v>
      </c>
      <c r="I122" s="64">
        <f t="shared" si="15"/>
        <v>1059197.7777272728</v>
      </c>
      <c r="J122" s="64">
        <v>16567970.690123001</v>
      </c>
      <c r="K122" s="64">
        <v>4995990.2065589996</v>
      </c>
      <c r="L122" s="64">
        <v>1027419.641309</v>
      </c>
      <c r="M122" s="64">
        <v>925877.44087499985</v>
      </c>
      <c r="N122" s="64">
        <f>SUM(J122:M122)</f>
        <v>23517257.978866003</v>
      </c>
      <c r="O122" s="64">
        <v>25</v>
      </c>
      <c r="P122" s="77" t="s">
        <v>73</v>
      </c>
      <c r="Q122" s="64">
        <f>N122/O122</f>
        <v>940690.31915464019</v>
      </c>
      <c r="R122" s="26">
        <f t="shared" si="12"/>
        <v>0.92225401570648757</v>
      </c>
      <c r="S122" s="27" t="e">
        <f t="shared" si="13"/>
        <v>#VALUE!</v>
      </c>
      <c r="T122" s="28">
        <f t="shared" si="13"/>
        <v>-11.188416466178282</v>
      </c>
      <c r="U122" s="2">
        <v>609</v>
      </c>
    </row>
    <row r="123" spans="1:21" ht="47.25" x14ac:dyDescent="0.2">
      <c r="A123" s="63" t="s">
        <v>156</v>
      </c>
      <c r="B123" s="79">
        <v>52953500.710000001</v>
      </c>
      <c r="C123" s="79">
        <v>2659210.62</v>
      </c>
      <c r="D123" s="79">
        <v>461585.12</v>
      </c>
      <c r="E123" s="79">
        <v>361126.12</v>
      </c>
      <c r="F123" s="81">
        <f t="shared" si="18"/>
        <v>56435422.569999993</v>
      </c>
      <c r="G123" s="80">
        <v>30100</v>
      </c>
      <c r="H123" s="77" t="s">
        <v>144</v>
      </c>
      <c r="I123" s="64">
        <f t="shared" si="15"/>
        <v>1874.9309823920264</v>
      </c>
      <c r="J123" s="294" t="s">
        <v>27</v>
      </c>
      <c r="K123" s="295"/>
      <c r="L123" s="295"/>
      <c r="M123" s="295"/>
      <c r="N123" s="295"/>
      <c r="O123" s="295"/>
      <c r="P123" s="295"/>
      <c r="Q123" s="296"/>
      <c r="R123" s="26">
        <f t="shared" si="12"/>
        <v>-100</v>
      </c>
      <c r="S123" s="27" t="e">
        <f t="shared" si="13"/>
        <v>#VALUE!</v>
      </c>
      <c r="T123" s="28">
        <f t="shared" si="13"/>
        <v>-100</v>
      </c>
      <c r="U123" s="2">
        <v>701</v>
      </c>
    </row>
    <row r="124" spans="1:21" ht="47.25" x14ac:dyDescent="0.2">
      <c r="A124" s="63" t="s">
        <v>157</v>
      </c>
      <c r="B124" s="294" t="s">
        <v>26</v>
      </c>
      <c r="C124" s="295"/>
      <c r="D124" s="295"/>
      <c r="E124" s="295"/>
      <c r="F124" s="295"/>
      <c r="G124" s="295"/>
      <c r="H124" s="295"/>
      <c r="I124" s="296"/>
      <c r="J124" s="64">
        <v>4851601.9525570003</v>
      </c>
      <c r="K124" s="64">
        <v>531497.860307</v>
      </c>
      <c r="L124" s="64">
        <v>399962.22483399994</v>
      </c>
      <c r="M124" s="64">
        <v>311061.14509100001</v>
      </c>
      <c r="N124" s="64">
        <f>SUM(J124:M124)</f>
        <v>6094123.1827889998</v>
      </c>
      <c r="O124" s="64">
        <v>1</v>
      </c>
      <c r="P124" s="64" t="s">
        <v>19</v>
      </c>
      <c r="Q124" s="64">
        <f>N124/O124</f>
        <v>6094123.1827889998</v>
      </c>
      <c r="R124" s="26" t="e">
        <f t="shared" si="12"/>
        <v>#DIV/0!</v>
      </c>
      <c r="S124" s="27" t="e">
        <f t="shared" si="13"/>
        <v>#VALUE!</v>
      </c>
      <c r="T124" s="28" t="e">
        <f t="shared" si="13"/>
        <v>#DIV/0!</v>
      </c>
    </row>
    <row r="125" spans="1:21" ht="31.5" x14ac:dyDescent="0.2">
      <c r="A125" s="63" t="s">
        <v>158</v>
      </c>
      <c r="B125" s="79">
        <v>9946649.2199999988</v>
      </c>
      <c r="C125" s="79">
        <v>628038.26</v>
      </c>
      <c r="D125" s="79">
        <v>1404232.82</v>
      </c>
      <c r="E125" s="79">
        <v>375944.33</v>
      </c>
      <c r="F125" s="81">
        <f t="shared" si="18"/>
        <v>12354864.629999999</v>
      </c>
      <c r="G125" s="80">
        <v>1</v>
      </c>
      <c r="H125" s="77" t="s">
        <v>19</v>
      </c>
      <c r="I125" s="64">
        <f t="shared" si="15"/>
        <v>12354864.629999999</v>
      </c>
      <c r="J125" s="294" t="s">
        <v>27</v>
      </c>
      <c r="K125" s="295"/>
      <c r="L125" s="295"/>
      <c r="M125" s="295"/>
      <c r="N125" s="295"/>
      <c r="O125" s="295"/>
      <c r="P125" s="295"/>
      <c r="Q125" s="296"/>
      <c r="R125" s="26">
        <f t="shared" si="12"/>
        <v>-100</v>
      </c>
      <c r="S125" s="27" t="e">
        <f t="shared" si="13"/>
        <v>#VALUE!</v>
      </c>
      <c r="T125" s="28">
        <f t="shared" si="13"/>
        <v>-100</v>
      </c>
      <c r="U125" s="2">
        <v>702</v>
      </c>
    </row>
    <row r="126" spans="1:21" ht="47.25" x14ac:dyDescent="0.2">
      <c r="A126" s="63" t="s">
        <v>159</v>
      </c>
      <c r="B126" s="79">
        <v>428399.55999999959</v>
      </c>
      <c r="C126" s="79">
        <v>136558.32</v>
      </c>
      <c r="D126" s="79">
        <v>118995.62</v>
      </c>
      <c r="E126" s="79">
        <v>83838.63</v>
      </c>
      <c r="F126" s="81">
        <f t="shared" si="18"/>
        <v>767792.12999999966</v>
      </c>
      <c r="G126" s="80">
        <v>13</v>
      </c>
      <c r="H126" s="77" t="s">
        <v>38</v>
      </c>
      <c r="I126" s="64">
        <f t="shared" si="15"/>
        <v>59060.933076923051</v>
      </c>
      <c r="J126" s="294" t="s">
        <v>27</v>
      </c>
      <c r="K126" s="295"/>
      <c r="L126" s="295"/>
      <c r="M126" s="295"/>
      <c r="N126" s="295"/>
      <c r="O126" s="295"/>
      <c r="P126" s="295"/>
      <c r="Q126" s="296"/>
      <c r="R126" s="26">
        <f t="shared" si="12"/>
        <v>-100</v>
      </c>
      <c r="S126" s="27" t="e">
        <f t="shared" si="13"/>
        <v>#VALUE!</v>
      </c>
      <c r="T126" s="28">
        <f t="shared" si="13"/>
        <v>-100</v>
      </c>
      <c r="U126" s="2">
        <v>703</v>
      </c>
    </row>
    <row r="127" spans="1:21" ht="47.25" x14ac:dyDescent="0.2">
      <c r="A127" s="63" t="s">
        <v>160</v>
      </c>
      <c r="B127" s="79">
        <v>394821.97</v>
      </c>
      <c r="C127" s="79">
        <v>80022.11</v>
      </c>
      <c r="D127" s="79">
        <v>43118.79</v>
      </c>
      <c r="E127" s="79">
        <v>12042.26</v>
      </c>
      <c r="F127" s="81">
        <f t="shared" si="18"/>
        <v>530005.12999999989</v>
      </c>
      <c r="G127" s="80">
        <v>5</v>
      </c>
      <c r="H127" s="77" t="s">
        <v>56</v>
      </c>
      <c r="I127" s="64">
        <f t="shared" si="15"/>
        <v>106001.02599999998</v>
      </c>
      <c r="J127" s="294" t="s">
        <v>27</v>
      </c>
      <c r="K127" s="295"/>
      <c r="L127" s="295"/>
      <c r="M127" s="295"/>
      <c r="N127" s="295"/>
      <c r="O127" s="295"/>
      <c r="P127" s="295"/>
      <c r="Q127" s="296"/>
      <c r="R127" s="26">
        <f t="shared" si="12"/>
        <v>-100</v>
      </c>
      <c r="S127" s="27" t="e">
        <f t="shared" si="13"/>
        <v>#VALUE!</v>
      </c>
      <c r="T127" s="28">
        <f t="shared" si="13"/>
        <v>-100</v>
      </c>
      <c r="U127" s="2">
        <v>704</v>
      </c>
    </row>
    <row r="128" spans="1:21" x14ac:dyDescent="0.2">
      <c r="A128" s="63" t="s">
        <v>161</v>
      </c>
      <c r="B128" s="79">
        <v>183036.60000000149</v>
      </c>
      <c r="C128" s="79">
        <v>928906.46999999974</v>
      </c>
      <c r="D128" s="79">
        <v>2479.7299999999814</v>
      </c>
      <c r="E128" s="79">
        <v>1641722.07</v>
      </c>
      <c r="F128" s="81">
        <f t="shared" si="18"/>
        <v>2756144.870000001</v>
      </c>
      <c r="G128" s="80">
        <v>1</v>
      </c>
      <c r="H128" s="77" t="s">
        <v>58</v>
      </c>
      <c r="I128" s="64">
        <f t="shared" si="15"/>
        <v>2756144.870000001</v>
      </c>
      <c r="J128" s="294" t="s">
        <v>27</v>
      </c>
      <c r="K128" s="295"/>
      <c r="L128" s="295"/>
      <c r="M128" s="295"/>
      <c r="N128" s="295"/>
      <c r="O128" s="295"/>
      <c r="P128" s="295"/>
      <c r="Q128" s="296"/>
      <c r="R128" s="26">
        <f t="shared" si="12"/>
        <v>-100</v>
      </c>
      <c r="S128" s="27" t="e">
        <f t="shared" si="13"/>
        <v>#VALUE!</v>
      </c>
      <c r="T128" s="28">
        <f t="shared" si="13"/>
        <v>-100</v>
      </c>
      <c r="U128" s="2">
        <v>705</v>
      </c>
    </row>
    <row r="129" spans="1:21" ht="47.25" x14ac:dyDescent="0.2">
      <c r="A129" s="63" t="s">
        <v>162</v>
      </c>
      <c r="B129" s="297" t="s">
        <v>26</v>
      </c>
      <c r="C129" s="298"/>
      <c r="D129" s="298"/>
      <c r="E129" s="298"/>
      <c r="F129" s="298"/>
      <c r="G129" s="298"/>
      <c r="H129" s="298"/>
      <c r="I129" s="299"/>
      <c r="J129" s="64">
        <v>4905074.916003</v>
      </c>
      <c r="K129" s="64">
        <v>825548.16109800001</v>
      </c>
      <c r="L129" s="64">
        <v>349910.39170900005</v>
      </c>
      <c r="M129" s="64">
        <v>372340.56745999999</v>
      </c>
      <c r="N129" s="64">
        <f>SUM(J129:M129)</f>
        <v>6452874.0362699991</v>
      </c>
      <c r="O129" s="64">
        <v>77</v>
      </c>
      <c r="P129" s="64" t="s">
        <v>38</v>
      </c>
      <c r="Q129" s="64">
        <f t="shared" ref="Q129:Q135" si="21">N129/O129</f>
        <v>83803.558912597393</v>
      </c>
      <c r="R129" s="26" t="e">
        <f t="shared" si="12"/>
        <v>#DIV/0!</v>
      </c>
      <c r="S129" s="27" t="e">
        <f t="shared" si="13"/>
        <v>#VALUE!</v>
      </c>
      <c r="T129" s="28" t="e">
        <f t="shared" si="13"/>
        <v>#DIV/0!</v>
      </c>
    </row>
    <row r="130" spans="1:21" ht="47.25" x14ac:dyDescent="0.2">
      <c r="A130" s="63" t="s">
        <v>163</v>
      </c>
      <c r="B130" s="297" t="s">
        <v>26</v>
      </c>
      <c r="C130" s="298"/>
      <c r="D130" s="298"/>
      <c r="E130" s="298"/>
      <c r="F130" s="298"/>
      <c r="G130" s="298"/>
      <c r="H130" s="298"/>
      <c r="I130" s="299"/>
      <c r="J130" s="64">
        <v>4835634.6211700002</v>
      </c>
      <c r="K130" s="64">
        <v>80101.473205999995</v>
      </c>
      <c r="L130" s="64">
        <v>130981.453039</v>
      </c>
      <c r="M130" s="64">
        <v>50518.980593</v>
      </c>
      <c r="N130" s="64">
        <f t="shared" ref="N130:N135" si="22">SUM(J130:M130)</f>
        <v>5097236.528008</v>
      </c>
      <c r="O130" s="64">
        <v>3</v>
      </c>
      <c r="P130" s="64" t="s">
        <v>19</v>
      </c>
      <c r="Q130" s="64">
        <f t="shared" si="21"/>
        <v>1699078.8426693333</v>
      </c>
      <c r="R130" s="26" t="e">
        <f t="shared" si="12"/>
        <v>#DIV/0!</v>
      </c>
      <c r="S130" s="27" t="e">
        <f t="shared" si="13"/>
        <v>#VALUE!</v>
      </c>
      <c r="T130" s="28" t="e">
        <f t="shared" si="13"/>
        <v>#DIV/0!</v>
      </c>
    </row>
    <row r="131" spans="1:21" ht="31.5" x14ac:dyDescent="0.2">
      <c r="A131" s="63" t="s">
        <v>164</v>
      </c>
      <c r="B131" s="297" t="s">
        <v>26</v>
      </c>
      <c r="C131" s="298"/>
      <c r="D131" s="298"/>
      <c r="E131" s="298"/>
      <c r="F131" s="298"/>
      <c r="G131" s="298"/>
      <c r="H131" s="298"/>
      <c r="I131" s="299"/>
      <c r="J131" s="64">
        <v>243565.832004</v>
      </c>
      <c r="K131" s="64">
        <v>8864.5273739999993</v>
      </c>
      <c r="L131" s="64">
        <v>33767.655393000001</v>
      </c>
      <c r="M131" s="64">
        <v>10060.998566999999</v>
      </c>
      <c r="N131" s="64">
        <f t="shared" si="22"/>
        <v>296259.01333799999</v>
      </c>
      <c r="O131" s="64">
        <v>1</v>
      </c>
      <c r="P131" s="64" t="s">
        <v>19</v>
      </c>
      <c r="Q131" s="64">
        <f t="shared" si="21"/>
        <v>296259.01333799999</v>
      </c>
      <c r="R131" s="26" t="e">
        <f t="shared" si="12"/>
        <v>#DIV/0!</v>
      </c>
      <c r="S131" s="27" t="e">
        <f t="shared" si="13"/>
        <v>#VALUE!</v>
      </c>
      <c r="T131" s="28" t="e">
        <f t="shared" si="13"/>
        <v>#DIV/0!</v>
      </c>
    </row>
    <row r="132" spans="1:21" ht="47.25" x14ac:dyDescent="0.2">
      <c r="A132" s="63" t="s">
        <v>165</v>
      </c>
      <c r="B132" s="65">
        <v>34515217.93</v>
      </c>
      <c r="C132" s="65">
        <v>826568.28</v>
      </c>
      <c r="D132" s="65">
        <v>967303.09</v>
      </c>
      <c r="E132" s="65">
        <v>855872.23</v>
      </c>
      <c r="F132" s="66">
        <f t="shared" si="18"/>
        <v>37164961.530000001</v>
      </c>
      <c r="G132" s="67">
        <v>454</v>
      </c>
      <c r="H132" s="68" t="s">
        <v>38</v>
      </c>
      <c r="I132" s="64">
        <f t="shared" si="15"/>
        <v>81861.148744493388</v>
      </c>
      <c r="J132" s="64">
        <v>11474899.924836002</v>
      </c>
      <c r="K132" s="64">
        <v>3316912.1982539999</v>
      </c>
      <c r="L132" s="64">
        <v>893300.34967300005</v>
      </c>
      <c r="M132" s="64">
        <v>742176.18304700009</v>
      </c>
      <c r="N132" s="64">
        <f t="shared" si="22"/>
        <v>16427288.655810002</v>
      </c>
      <c r="O132" s="64">
        <v>494</v>
      </c>
      <c r="P132" s="64" t="s">
        <v>38</v>
      </c>
      <c r="Q132" s="64">
        <f t="shared" si="21"/>
        <v>33253.620760748992</v>
      </c>
      <c r="R132" s="26">
        <f t="shared" si="12"/>
        <v>-55.798989210443018</v>
      </c>
      <c r="S132" s="27" t="e">
        <f t="shared" si="13"/>
        <v>#VALUE!</v>
      </c>
      <c r="T132" s="28">
        <f t="shared" si="13"/>
        <v>-59.378018424172332</v>
      </c>
      <c r="U132" s="2">
        <v>801</v>
      </c>
    </row>
    <row r="133" spans="1:21" ht="31.5" x14ac:dyDescent="0.2">
      <c r="A133" s="63" t="s">
        <v>166</v>
      </c>
      <c r="B133" s="65">
        <v>1418173.21</v>
      </c>
      <c r="C133" s="65">
        <v>896543.32</v>
      </c>
      <c r="D133" s="65">
        <v>373875.23</v>
      </c>
      <c r="E133" s="65">
        <v>370824.17</v>
      </c>
      <c r="F133" s="66">
        <f t="shared" si="18"/>
        <v>3059415.9299999997</v>
      </c>
      <c r="G133" s="67">
        <v>1</v>
      </c>
      <c r="H133" s="68" t="s">
        <v>19</v>
      </c>
      <c r="I133" s="64">
        <f t="shared" si="15"/>
        <v>3059415.9299999997</v>
      </c>
      <c r="J133" s="64">
        <v>1306506.6725470005</v>
      </c>
      <c r="K133" s="64">
        <v>1710987.6910379999</v>
      </c>
      <c r="L133" s="64">
        <v>355619.86814899999</v>
      </c>
      <c r="M133" s="64">
        <v>355511.30231499998</v>
      </c>
      <c r="N133" s="64">
        <f t="shared" si="22"/>
        <v>3728625.5340490001</v>
      </c>
      <c r="O133" s="64">
        <v>1</v>
      </c>
      <c r="P133" s="64" t="s">
        <v>19</v>
      </c>
      <c r="Q133" s="64">
        <f t="shared" si="21"/>
        <v>3728625.5340490001</v>
      </c>
      <c r="R133" s="26">
        <f t="shared" si="12"/>
        <v>21.873770005799784</v>
      </c>
      <c r="S133" s="27" t="e">
        <f t="shared" si="13"/>
        <v>#VALUE!</v>
      </c>
      <c r="T133" s="28">
        <f t="shared" si="13"/>
        <v>21.873770005799784</v>
      </c>
      <c r="U133" s="2">
        <v>802</v>
      </c>
    </row>
    <row r="134" spans="1:21" ht="47.25" x14ac:dyDescent="0.2">
      <c r="A134" s="63" t="s">
        <v>167</v>
      </c>
      <c r="B134" s="65">
        <v>3848423.48</v>
      </c>
      <c r="C134" s="65">
        <v>125860.62999999989</v>
      </c>
      <c r="D134" s="65">
        <v>224042.86</v>
      </c>
      <c r="E134" s="65">
        <v>143137.68</v>
      </c>
      <c r="F134" s="66">
        <f t="shared" si="18"/>
        <v>4341464.6499999994</v>
      </c>
      <c r="G134" s="67">
        <v>13</v>
      </c>
      <c r="H134" s="68" t="s">
        <v>38</v>
      </c>
      <c r="I134" s="64">
        <f t="shared" si="15"/>
        <v>333958.81923076918</v>
      </c>
      <c r="J134" s="64">
        <v>714229.95207800018</v>
      </c>
      <c r="K134" s="64">
        <v>4490560.4904740006</v>
      </c>
      <c r="L134" s="64">
        <v>261600.708277</v>
      </c>
      <c r="M134" s="64">
        <v>176997.63440099999</v>
      </c>
      <c r="N134" s="64">
        <f t="shared" si="22"/>
        <v>5643388.7852300005</v>
      </c>
      <c r="O134" s="64">
        <v>22</v>
      </c>
      <c r="P134" s="64" t="s">
        <v>38</v>
      </c>
      <c r="Q134" s="64">
        <f t="shared" si="21"/>
        <v>256517.67205590912</v>
      </c>
      <c r="R134" s="26">
        <f t="shared" si="12"/>
        <v>29.988131660360317</v>
      </c>
      <c r="S134" s="27" t="e">
        <f t="shared" si="13"/>
        <v>#VALUE!</v>
      </c>
      <c r="T134" s="28">
        <f t="shared" si="13"/>
        <v>-23.188831291605265</v>
      </c>
      <c r="U134" s="2">
        <v>803</v>
      </c>
    </row>
    <row r="135" spans="1:21" ht="31.5" x14ac:dyDescent="0.2">
      <c r="A135" s="63" t="s">
        <v>168</v>
      </c>
      <c r="B135" s="65">
        <v>1711447.42</v>
      </c>
      <c r="C135" s="65">
        <v>510484.6</v>
      </c>
      <c r="D135" s="65">
        <v>105044.07</v>
      </c>
      <c r="E135" s="65">
        <v>90685.98</v>
      </c>
      <c r="F135" s="66">
        <f t="shared" si="18"/>
        <v>2417662.0699999998</v>
      </c>
      <c r="G135" s="67">
        <v>5</v>
      </c>
      <c r="H135" s="68" t="s">
        <v>56</v>
      </c>
      <c r="I135" s="64">
        <f t="shared" si="15"/>
        <v>483532.41399999999</v>
      </c>
      <c r="J135" s="64">
        <v>1580136.1867580002</v>
      </c>
      <c r="K135" s="64">
        <v>1066841.216943</v>
      </c>
      <c r="L135" s="64">
        <v>107563.63212499999</v>
      </c>
      <c r="M135" s="64">
        <v>72373.615269000016</v>
      </c>
      <c r="N135" s="64">
        <f t="shared" si="22"/>
        <v>2826914.6510950001</v>
      </c>
      <c r="O135" s="64">
        <v>4</v>
      </c>
      <c r="P135" s="64" t="s">
        <v>56</v>
      </c>
      <c r="Q135" s="64">
        <f t="shared" si="21"/>
        <v>706728.66277375002</v>
      </c>
      <c r="R135" s="26">
        <f t="shared" ref="R135:R198" si="23">(N135-F135)/F135*100</f>
        <v>16.927617228780043</v>
      </c>
      <c r="S135" s="27" t="e">
        <f t="shared" ref="S135:T198" si="24">(P135-H135)/H135*100</f>
        <v>#VALUE!</v>
      </c>
      <c r="T135" s="28">
        <f t="shared" si="24"/>
        <v>46.159521535975053</v>
      </c>
      <c r="U135" s="2">
        <v>804</v>
      </c>
    </row>
    <row r="136" spans="1:21" x14ac:dyDescent="0.2">
      <c r="A136" s="63" t="s">
        <v>169</v>
      </c>
      <c r="B136" s="65">
        <v>15149994.57</v>
      </c>
      <c r="C136" s="65">
        <v>7012572.1100000003</v>
      </c>
      <c r="D136" s="65">
        <v>1074395.07</v>
      </c>
      <c r="E136" s="65">
        <v>998879.23</v>
      </c>
      <c r="F136" s="66">
        <f t="shared" si="18"/>
        <v>24235840.98</v>
      </c>
      <c r="G136" s="67">
        <v>13</v>
      </c>
      <c r="H136" s="68" t="s">
        <v>38</v>
      </c>
      <c r="I136" s="64">
        <f t="shared" si="15"/>
        <v>1864295.46</v>
      </c>
      <c r="J136" s="294" t="s">
        <v>27</v>
      </c>
      <c r="K136" s="295"/>
      <c r="L136" s="295"/>
      <c r="M136" s="295"/>
      <c r="N136" s="295"/>
      <c r="O136" s="295"/>
      <c r="P136" s="295"/>
      <c r="Q136" s="296"/>
      <c r="R136" s="26">
        <f t="shared" si="23"/>
        <v>-100</v>
      </c>
      <c r="S136" s="27" t="e">
        <f t="shared" si="24"/>
        <v>#VALUE!</v>
      </c>
      <c r="T136" s="28">
        <f t="shared" si="24"/>
        <v>-100</v>
      </c>
      <c r="U136" s="2">
        <v>805</v>
      </c>
    </row>
    <row r="137" spans="1:21" ht="47.25" x14ac:dyDescent="0.2">
      <c r="A137" s="63" t="s">
        <v>170</v>
      </c>
      <c r="B137" s="297" t="s">
        <v>26</v>
      </c>
      <c r="C137" s="298"/>
      <c r="D137" s="298"/>
      <c r="E137" s="298"/>
      <c r="F137" s="298"/>
      <c r="G137" s="298"/>
      <c r="H137" s="298"/>
      <c r="I137" s="299"/>
      <c r="J137" s="64">
        <v>14944684.586356001</v>
      </c>
      <c r="K137" s="64">
        <v>6528429.415732001</v>
      </c>
      <c r="L137" s="64">
        <v>1009157.8371190001</v>
      </c>
      <c r="M137" s="64">
        <v>821089.85001399997</v>
      </c>
      <c r="N137" s="64">
        <f t="shared" ref="N137:N142" si="25">SUM(J137:M137)</f>
        <v>23303361.689221006</v>
      </c>
      <c r="O137" s="64">
        <v>1</v>
      </c>
      <c r="P137" s="64" t="s">
        <v>58</v>
      </c>
      <c r="Q137" s="64">
        <f t="shared" ref="Q137:Q142" si="26">N137/O137</f>
        <v>23303361.689221006</v>
      </c>
      <c r="R137" s="26" t="e">
        <f t="shared" si="23"/>
        <v>#DIV/0!</v>
      </c>
      <c r="S137" s="27" t="e">
        <f t="shared" si="24"/>
        <v>#VALUE!</v>
      </c>
      <c r="T137" s="28" t="e">
        <f t="shared" si="24"/>
        <v>#DIV/0!</v>
      </c>
    </row>
    <row r="138" spans="1:21" ht="31.5" x14ac:dyDescent="0.2">
      <c r="A138" s="63" t="s">
        <v>171</v>
      </c>
      <c r="B138" s="297" t="s">
        <v>26</v>
      </c>
      <c r="C138" s="298"/>
      <c r="D138" s="298"/>
      <c r="E138" s="298"/>
      <c r="F138" s="298"/>
      <c r="G138" s="298"/>
      <c r="H138" s="298"/>
      <c r="I138" s="299"/>
      <c r="J138" s="64">
        <v>31997265.780746002</v>
      </c>
      <c r="K138" s="64">
        <v>7995800.5752999987</v>
      </c>
      <c r="L138" s="64">
        <v>1943108.392334</v>
      </c>
      <c r="M138" s="64">
        <v>1554896.4920020001</v>
      </c>
      <c r="N138" s="64">
        <f t="shared" si="25"/>
        <v>43491071.240382001</v>
      </c>
      <c r="O138" s="64">
        <v>180</v>
      </c>
      <c r="P138" s="64" t="s">
        <v>65</v>
      </c>
      <c r="Q138" s="64">
        <f t="shared" si="26"/>
        <v>241617.06244656668</v>
      </c>
      <c r="R138" s="26" t="e">
        <f t="shared" si="23"/>
        <v>#DIV/0!</v>
      </c>
      <c r="S138" s="27" t="e">
        <f t="shared" si="24"/>
        <v>#VALUE!</v>
      </c>
      <c r="T138" s="28" t="e">
        <f t="shared" si="24"/>
        <v>#DIV/0!</v>
      </c>
    </row>
    <row r="139" spans="1:21" ht="31.5" x14ac:dyDescent="0.2">
      <c r="A139" s="63" t="s">
        <v>172</v>
      </c>
      <c r="B139" s="297" t="s">
        <v>26</v>
      </c>
      <c r="C139" s="298"/>
      <c r="D139" s="298"/>
      <c r="E139" s="298"/>
      <c r="F139" s="298"/>
      <c r="G139" s="298"/>
      <c r="H139" s="298"/>
      <c r="I139" s="299"/>
      <c r="J139" s="64">
        <v>31267956.143004004</v>
      </c>
      <c r="K139" s="64">
        <v>23784199.357589997</v>
      </c>
      <c r="L139" s="64">
        <v>1738931.0211419999</v>
      </c>
      <c r="M139" s="64">
        <v>1406380.8737580001</v>
      </c>
      <c r="N139" s="64">
        <f t="shared" si="25"/>
        <v>58197467.395494007</v>
      </c>
      <c r="O139" s="64">
        <v>323</v>
      </c>
      <c r="P139" s="64" t="s">
        <v>49</v>
      </c>
      <c r="Q139" s="64">
        <f t="shared" si="26"/>
        <v>180177.91763310839</v>
      </c>
      <c r="R139" s="26" t="e">
        <f t="shared" si="23"/>
        <v>#DIV/0!</v>
      </c>
      <c r="S139" s="27" t="e">
        <f t="shared" si="24"/>
        <v>#VALUE!</v>
      </c>
      <c r="T139" s="28" t="e">
        <f t="shared" si="24"/>
        <v>#DIV/0!</v>
      </c>
    </row>
    <row r="140" spans="1:21" x14ac:dyDescent="0.2">
      <c r="A140" s="63" t="s">
        <v>173</v>
      </c>
      <c r="B140" s="297" t="s">
        <v>26</v>
      </c>
      <c r="C140" s="298"/>
      <c r="D140" s="298"/>
      <c r="E140" s="298"/>
      <c r="F140" s="298"/>
      <c r="G140" s="298"/>
      <c r="H140" s="298"/>
      <c r="I140" s="299"/>
      <c r="J140" s="64">
        <v>27125041.243555997</v>
      </c>
      <c r="K140" s="64">
        <v>22926168.691530999</v>
      </c>
      <c r="L140" s="64">
        <v>1444436.1049779998</v>
      </c>
      <c r="M140" s="64">
        <v>2013786.4435129997</v>
      </c>
      <c r="N140" s="64">
        <f t="shared" si="25"/>
        <v>53509432.483577996</v>
      </c>
      <c r="O140" s="64">
        <v>1</v>
      </c>
      <c r="P140" s="64" t="s">
        <v>58</v>
      </c>
      <c r="Q140" s="64">
        <f t="shared" si="26"/>
        <v>53509432.483577996</v>
      </c>
      <c r="R140" s="26" t="e">
        <f t="shared" si="23"/>
        <v>#DIV/0!</v>
      </c>
      <c r="S140" s="27" t="e">
        <f t="shared" si="24"/>
        <v>#VALUE!</v>
      </c>
      <c r="T140" s="28" t="e">
        <f t="shared" si="24"/>
        <v>#DIV/0!</v>
      </c>
    </row>
    <row r="141" spans="1:21" ht="31.5" x14ac:dyDescent="0.2">
      <c r="A141" s="63" t="s">
        <v>174</v>
      </c>
      <c r="B141" s="297" t="s">
        <v>26</v>
      </c>
      <c r="C141" s="298"/>
      <c r="D141" s="298"/>
      <c r="E141" s="298"/>
      <c r="F141" s="298"/>
      <c r="G141" s="298"/>
      <c r="H141" s="298"/>
      <c r="I141" s="299"/>
      <c r="J141" s="64">
        <v>15911067.946148001</v>
      </c>
      <c r="K141" s="64">
        <v>1305783.0574580003</v>
      </c>
      <c r="L141" s="64">
        <v>1274622.8095419998</v>
      </c>
      <c r="M141" s="64">
        <v>982283.65137000009</v>
      </c>
      <c r="N141" s="64">
        <f t="shared" si="25"/>
        <v>19473757.464517999</v>
      </c>
      <c r="O141" s="64">
        <v>1</v>
      </c>
      <c r="P141" s="64" t="s">
        <v>19</v>
      </c>
      <c r="Q141" s="64">
        <f t="shared" si="26"/>
        <v>19473757.464517999</v>
      </c>
      <c r="R141" s="26" t="e">
        <f t="shared" si="23"/>
        <v>#DIV/0!</v>
      </c>
      <c r="S141" s="27" t="e">
        <f t="shared" si="24"/>
        <v>#VALUE!</v>
      </c>
      <c r="T141" s="28" t="e">
        <f t="shared" si="24"/>
        <v>#DIV/0!</v>
      </c>
    </row>
    <row r="142" spans="1:21" x14ac:dyDescent="0.2">
      <c r="A142" s="63" t="s">
        <v>175</v>
      </c>
      <c r="B142" s="297" t="s">
        <v>26</v>
      </c>
      <c r="C142" s="298"/>
      <c r="D142" s="298"/>
      <c r="E142" s="298"/>
      <c r="F142" s="298"/>
      <c r="G142" s="298"/>
      <c r="H142" s="298"/>
      <c r="I142" s="299"/>
      <c r="J142" s="64">
        <v>29589557.627022997</v>
      </c>
      <c r="K142" s="64">
        <v>3793302.3449229999</v>
      </c>
      <c r="L142" s="64">
        <v>1944002.9836599999</v>
      </c>
      <c r="M142" s="64">
        <v>1849853.8887529997</v>
      </c>
      <c r="N142" s="64">
        <f t="shared" si="25"/>
        <v>37176716.844358996</v>
      </c>
      <c r="O142" s="64">
        <v>100</v>
      </c>
      <c r="P142" s="64" t="s">
        <v>34</v>
      </c>
      <c r="Q142" s="64">
        <f t="shared" si="26"/>
        <v>371767.16844358994</v>
      </c>
      <c r="R142" s="26" t="e">
        <f t="shared" si="23"/>
        <v>#DIV/0!</v>
      </c>
      <c r="S142" s="27" t="e">
        <f t="shared" si="24"/>
        <v>#VALUE!</v>
      </c>
      <c r="T142" s="28" t="e">
        <f t="shared" si="24"/>
        <v>#DIV/0!</v>
      </c>
    </row>
    <row r="143" spans="1:21" ht="47.25" x14ac:dyDescent="0.2">
      <c r="A143" s="63" t="s">
        <v>176</v>
      </c>
      <c r="B143" s="65">
        <v>14125598.680787001</v>
      </c>
      <c r="C143" s="65">
        <v>6549600.2933069998</v>
      </c>
      <c r="D143" s="65">
        <v>1433217.7546692069</v>
      </c>
      <c r="E143" s="65">
        <v>331221.89179800003</v>
      </c>
      <c r="F143" s="66">
        <f t="shared" si="18"/>
        <v>22439638.620561209</v>
      </c>
      <c r="G143" s="72">
        <v>132</v>
      </c>
      <c r="H143" s="68" t="s">
        <v>38</v>
      </c>
      <c r="I143" s="64">
        <f t="shared" si="15"/>
        <v>169997.26227697884</v>
      </c>
      <c r="J143" s="294" t="s">
        <v>27</v>
      </c>
      <c r="K143" s="295"/>
      <c r="L143" s="295"/>
      <c r="M143" s="295"/>
      <c r="N143" s="295"/>
      <c r="O143" s="295"/>
      <c r="P143" s="295"/>
      <c r="Q143" s="296"/>
      <c r="R143" s="26">
        <f t="shared" si="23"/>
        <v>-100</v>
      </c>
      <c r="S143" s="27" t="e">
        <f t="shared" si="24"/>
        <v>#VALUE!</v>
      </c>
      <c r="T143" s="28">
        <f t="shared" si="24"/>
        <v>-100</v>
      </c>
      <c r="U143" s="2">
        <v>901</v>
      </c>
    </row>
    <row r="144" spans="1:21" ht="110.25" x14ac:dyDescent="0.2">
      <c r="A144" s="63" t="s">
        <v>177</v>
      </c>
      <c r="B144" s="297" t="s">
        <v>26</v>
      </c>
      <c r="C144" s="298"/>
      <c r="D144" s="298"/>
      <c r="E144" s="298"/>
      <c r="F144" s="298"/>
      <c r="G144" s="298"/>
      <c r="H144" s="298"/>
      <c r="I144" s="299"/>
      <c r="J144" s="64">
        <v>5034618.7244850006</v>
      </c>
      <c r="K144" s="64">
        <v>1351569.3767230001</v>
      </c>
      <c r="L144" s="64">
        <v>401835.90973500005</v>
      </c>
      <c r="M144" s="64">
        <v>262307.78514300002</v>
      </c>
      <c r="N144" s="64">
        <f>SUM(J144:M144)</f>
        <v>7050331.7960860003</v>
      </c>
      <c r="O144" s="64">
        <v>14</v>
      </c>
      <c r="P144" s="64" t="s">
        <v>144</v>
      </c>
      <c r="Q144" s="64">
        <f>N144/O144</f>
        <v>503595.12829185714</v>
      </c>
      <c r="R144" s="26" t="e">
        <f t="shared" si="23"/>
        <v>#DIV/0!</v>
      </c>
      <c r="S144" s="27" t="e">
        <f t="shared" si="24"/>
        <v>#VALUE!</v>
      </c>
      <c r="T144" s="28" t="e">
        <f t="shared" si="24"/>
        <v>#DIV/0!</v>
      </c>
    </row>
    <row r="145" spans="1:21" ht="31.5" x14ac:dyDescent="0.2">
      <c r="A145" s="63" t="s">
        <v>178</v>
      </c>
      <c r="B145" s="65">
        <v>6766216.5584399998</v>
      </c>
      <c r="C145" s="65">
        <v>10603046.146568</v>
      </c>
      <c r="D145" s="65">
        <v>99271.662261999998</v>
      </c>
      <c r="E145" s="65">
        <v>105480.867581</v>
      </c>
      <c r="F145" s="66">
        <f t="shared" si="18"/>
        <v>17574015.234850999</v>
      </c>
      <c r="G145" s="72">
        <v>5</v>
      </c>
      <c r="H145" s="68" t="s">
        <v>19</v>
      </c>
      <c r="I145" s="64">
        <f t="shared" si="15"/>
        <v>3514803.0469701998</v>
      </c>
      <c r="J145" s="294" t="s">
        <v>27</v>
      </c>
      <c r="K145" s="295"/>
      <c r="L145" s="295"/>
      <c r="M145" s="295"/>
      <c r="N145" s="295"/>
      <c r="O145" s="295"/>
      <c r="P145" s="295"/>
      <c r="Q145" s="296"/>
      <c r="R145" s="26">
        <f t="shared" si="23"/>
        <v>-100</v>
      </c>
      <c r="S145" s="27" t="e">
        <f t="shared" si="24"/>
        <v>#VALUE!</v>
      </c>
      <c r="T145" s="28">
        <f t="shared" si="24"/>
        <v>-100</v>
      </c>
      <c r="U145" s="2">
        <v>902</v>
      </c>
    </row>
    <row r="146" spans="1:21" ht="47.25" x14ac:dyDescent="0.2">
      <c r="A146" s="63" t="s">
        <v>179</v>
      </c>
      <c r="B146" s="65">
        <v>3518024.5242309999</v>
      </c>
      <c r="C146" s="65">
        <v>5569683.2857409995</v>
      </c>
      <c r="D146" s="65">
        <v>210577.93127930659</v>
      </c>
      <c r="E146" s="65">
        <v>168386.43797900001</v>
      </c>
      <c r="F146" s="66">
        <f t="shared" si="18"/>
        <v>9466672.1792303063</v>
      </c>
      <c r="G146" s="72">
        <v>13</v>
      </c>
      <c r="H146" s="68" t="s">
        <v>38</v>
      </c>
      <c r="I146" s="64">
        <f t="shared" si="15"/>
        <v>728205.55224848515</v>
      </c>
      <c r="J146" s="294" t="s">
        <v>27</v>
      </c>
      <c r="K146" s="295"/>
      <c r="L146" s="295"/>
      <c r="M146" s="295"/>
      <c r="N146" s="295"/>
      <c r="O146" s="295"/>
      <c r="P146" s="295"/>
      <c r="Q146" s="296"/>
      <c r="R146" s="26">
        <f t="shared" si="23"/>
        <v>-100</v>
      </c>
      <c r="S146" s="27" t="e">
        <f t="shared" si="24"/>
        <v>#VALUE!</v>
      </c>
      <c r="T146" s="28">
        <f t="shared" si="24"/>
        <v>-100</v>
      </c>
      <c r="U146" s="2">
        <v>903</v>
      </c>
    </row>
    <row r="147" spans="1:21" ht="47.25" x14ac:dyDescent="0.2">
      <c r="A147" s="63" t="s">
        <v>180</v>
      </c>
      <c r="B147" s="65">
        <v>443904.22094900021</v>
      </c>
      <c r="C147" s="65">
        <v>364626.32785200002</v>
      </c>
      <c r="D147" s="65">
        <v>132142.29159900002</v>
      </c>
      <c r="E147" s="65">
        <v>148193.92031399999</v>
      </c>
      <c r="F147" s="66">
        <f t="shared" si="18"/>
        <v>1088866.7607140001</v>
      </c>
      <c r="G147" s="72">
        <v>5</v>
      </c>
      <c r="H147" s="68" t="s">
        <v>56</v>
      </c>
      <c r="I147" s="64">
        <f t="shared" si="15"/>
        <v>217773.35214280002</v>
      </c>
      <c r="J147" s="294" t="s">
        <v>27</v>
      </c>
      <c r="K147" s="295"/>
      <c r="L147" s="295"/>
      <c r="M147" s="295"/>
      <c r="N147" s="295"/>
      <c r="O147" s="295"/>
      <c r="P147" s="295"/>
      <c r="Q147" s="296"/>
      <c r="R147" s="26">
        <f t="shared" si="23"/>
        <v>-100</v>
      </c>
      <c r="S147" s="27" t="e">
        <f t="shared" si="24"/>
        <v>#VALUE!</v>
      </c>
      <c r="T147" s="28">
        <f t="shared" si="24"/>
        <v>-100</v>
      </c>
      <c r="U147" s="2">
        <v>904</v>
      </c>
    </row>
    <row r="148" spans="1:21" ht="47.25" x14ac:dyDescent="0.2">
      <c r="A148" s="63" t="s">
        <v>181</v>
      </c>
      <c r="B148" s="65">
        <v>4443633.1461730003</v>
      </c>
      <c r="C148" s="65">
        <v>2033353.9087659996</v>
      </c>
      <c r="D148" s="65">
        <v>591475.34211238008</v>
      </c>
      <c r="E148" s="65">
        <v>3145156.7497897991</v>
      </c>
      <c r="F148" s="66">
        <f t="shared" si="18"/>
        <v>10213619.14684118</v>
      </c>
      <c r="G148" s="72">
        <v>1</v>
      </c>
      <c r="H148" s="68" t="s">
        <v>58</v>
      </c>
      <c r="I148" s="64">
        <f t="shared" si="15"/>
        <v>10213619.14684118</v>
      </c>
      <c r="J148" s="64">
        <v>8695312.1024040002</v>
      </c>
      <c r="K148" s="64">
        <v>1439376.9504700003</v>
      </c>
      <c r="L148" s="64">
        <v>117690.18447000001</v>
      </c>
      <c r="M148" s="64">
        <v>57592.191980000003</v>
      </c>
      <c r="N148" s="64">
        <f>SUM(J148:M148)</f>
        <v>10309971.429324001</v>
      </c>
      <c r="O148" s="64">
        <v>1</v>
      </c>
      <c r="P148" s="68" t="s">
        <v>58</v>
      </c>
      <c r="Q148" s="64">
        <f>N148/O148</f>
        <v>10309971.429324001</v>
      </c>
      <c r="R148" s="26">
        <f t="shared" si="23"/>
        <v>0.94337062208375844</v>
      </c>
      <c r="S148" s="27" t="e">
        <f t="shared" si="24"/>
        <v>#VALUE!</v>
      </c>
      <c r="T148" s="28">
        <f t="shared" si="24"/>
        <v>0.94337062208375844</v>
      </c>
      <c r="U148" s="2">
        <v>905</v>
      </c>
    </row>
    <row r="149" spans="1:21" ht="47.25" x14ac:dyDescent="0.2">
      <c r="A149" s="63" t="s">
        <v>182</v>
      </c>
      <c r="B149" s="297" t="s">
        <v>26</v>
      </c>
      <c r="C149" s="298"/>
      <c r="D149" s="298"/>
      <c r="E149" s="298"/>
      <c r="F149" s="298"/>
      <c r="G149" s="298"/>
      <c r="H149" s="298"/>
      <c r="I149" s="299"/>
      <c r="J149" s="64">
        <v>3402353.3405859997</v>
      </c>
      <c r="K149" s="64">
        <v>3114293.6945300004</v>
      </c>
      <c r="L149" s="64">
        <v>241486.32949899998</v>
      </c>
      <c r="M149" s="64">
        <v>182991.87587699998</v>
      </c>
      <c r="N149" s="64">
        <f>SUM(J149:M149)</f>
        <v>6941125.2404920002</v>
      </c>
      <c r="O149" s="64">
        <v>10</v>
      </c>
      <c r="P149" s="64" t="s">
        <v>146</v>
      </c>
      <c r="Q149" s="64">
        <f>N149/O149</f>
        <v>694112.5240492</v>
      </c>
      <c r="R149" s="26" t="e">
        <f t="shared" si="23"/>
        <v>#DIV/0!</v>
      </c>
      <c r="S149" s="27" t="e">
        <f t="shared" si="24"/>
        <v>#VALUE!</v>
      </c>
      <c r="T149" s="28" t="e">
        <f t="shared" si="24"/>
        <v>#DIV/0!</v>
      </c>
    </row>
    <row r="150" spans="1:21" ht="47.25" x14ac:dyDescent="0.2">
      <c r="A150" s="63" t="s">
        <v>183</v>
      </c>
      <c r="B150" s="297" t="s">
        <v>26</v>
      </c>
      <c r="C150" s="298"/>
      <c r="D150" s="298"/>
      <c r="E150" s="298"/>
      <c r="F150" s="298"/>
      <c r="G150" s="298"/>
      <c r="H150" s="298"/>
      <c r="I150" s="299"/>
      <c r="J150" s="64">
        <v>2411310.6166739999</v>
      </c>
      <c r="K150" s="64">
        <v>2155196.09828</v>
      </c>
      <c r="L150" s="64">
        <v>158788.04862799999</v>
      </c>
      <c r="M150" s="64">
        <v>77341.834035000007</v>
      </c>
      <c r="N150" s="64">
        <f>SUM(J150:M150)</f>
        <v>4802636.5976169994</v>
      </c>
      <c r="O150" s="64">
        <v>12</v>
      </c>
      <c r="P150" s="64" t="s">
        <v>144</v>
      </c>
      <c r="Q150" s="64">
        <f>N150/O150</f>
        <v>400219.71646808326</v>
      </c>
      <c r="R150" s="26" t="e">
        <f t="shared" si="23"/>
        <v>#DIV/0!</v>
      </c>
      <c r="S150" s="27" t="e">
        <f t="shared" si="24"/>
        <v>#VALUE!</v>
      </c>
      <c r="T150" s="28" t="e">
        <f t="shared" si="24"/>
        <v>#DIV/0!</v>
      </c>
    </row>
    <row r="151" spans="1:21" ht="47.25" x14ac:dyDescent="0.2">
      <c r="A151" s="63" t="s">
        <v>184</v>
      </c>
      <c r="B151" s="297" t="s">
        <v>26</v>
      </c>
      <c r="C151" s="298"/>
      <c r="D151" s="298"/>
      <c r="E151" s="298"/>
      <c r="F151" s="298"/>
      <c r="G151" s="298"/>
      <c r="H151" s="298"/>
      <c r="I151" s="299"/>
      <c r="J151" s="64">
        <v>52593589.525882013</v>
      </c>
      <c r="K151" s="64">
        <v>11117879.578185998</v>
      </c>
      <c r="L151" s="64">
        <v>3202512.9684579996</v>
      </c>
      <c r="M151" s="64">
        <v>2983120.6550489999</v>
      </c>
      <c r="N151" s="64">
        <f>SUM(J151:M151)</f>
        <v>69897102.727575004</v>
      </c>
      <c r="O151" s="64">
        <v>3</v>
      </c>
      <c r="P151" s="64" t="s">
        <v>144</v>
      </c>
      <c r="Q151" s="64">
        <f>N151/O151</f>
        <v>23299034.242525</v>
      </c>
      <c r="R151" s="26" t="e">
        <f t="shared" si="23"/>
        <v>#DIV/0!</v>
      </c>
      <c r="S151" s="27" t="e">
        <f t="shared" si="24"/>
        <v>#VALUE!</v>
      </c>
      <c r="T151" s="28" t="e">
        <f t="shared" si="24"/>
        <v>#DIV/0!</v>
      </c>
    </row>
    <row r="152" spans="1:21" ht="47.25" x14ac:dyDescent="0.2">
      <c r="A152" s="63" t="s">
        <v>185</v>
      </c>
      <c r="B152" s="65">
        <v>76299645.467831999</v>
      </c>
      <c r="C152" s="65">
        <v>4674385.1113680005</v>
      </c>
      <c r="D152" s="65">
        <v>975548.65932741016</v>
      </c>
      <c r="E152" s="65">
        <v>2817901.2378902002</v>
      </c>
      <c r="F152" s="66">
        <f t="shared" si="18"/>
        <v>84767480.476417616</v>
      </c>
      <c r="G152" s="72">
        <v>467</v>
      </c>
      <c r="H152" s="68" t="s">
        <v>38</v>
      </c>
      <c r="I152" s="64">
        <f t="shared" si="15"/>
        <v>181514.94748697561</v>
      </c>
      <c r="J152" s="294" t="s">
        <v>27</v>
      </c>
      <c r="K152" s="295"/>
      <c r="L152" s="295"/>
      <c r="M152" s="295"/>
      <c r="N152" s="295"/>
      <c r="O152" s="295"/>
      <c r="P152" s="295"/>
      <c r="Q152" s="296"/>
      <c r="R152" s="26">
        <f t="shared" si="23"/>
        <v>-100</v>
      </c>
      <c r="S152" s="27" t="e">
        <f t="shared" si="24"/>
        <v>#VALUE!</v>
      </c>
      <c r="T152" s="28">
        <f t="shared" si="24"/>
        <v>-100</v>
      </c>
      <c r="U152" s="2">
        <v>1001</v>
      </c>
    </row>
    <row r="153" spans="1:21" ht="47.25" x14ac:dyDescent="0.2">
      <c r="A153" s="63" t="s">
        <v>186</v>
      </c>
      <c r="B153" s="297" t="s">
        <v>26</v>
      </c>
      <c r="C153" s="298"/>
      <c r="D153" s="298"/>
      <c r="E153" s="298"/>
      <c r="F153" s="298"/>
      <c r="G153" s="298"/>
      <c r="H153" s="298"/>
      <c r="I153" s="299"/>
      <c r="J153" s="64">
        <v>30817388.086564001</v>
      </c>
      <c r="K153" s="64">
        <v>4300538.4126120005</v>
      </c>
      <c r="L153" s="64">
        <v>2345615.3005529996</v>
      </c>
      <c r="M153" s="64">
        <v>2648096.8940630006</v>
      </c>
      <c r="N153" s="64">
        <f>SUM(J153:M153)</f>
        <v>40111638.693792008</v>
      </c>
      <c r="O153" s="64">
        <v>1</v>
      </c>
      <c r="P153" s="64" t="s">
        <v>19</v>
      </c>
      <c r="Q153" s="64">
        <f>N153/O153</f>
        <v>40111638.693792008</v>
      </c>
      <c r="R153" s="26" t="e">
        <f t="shared" si="23"/>
        <v>#DIV/0!</v>
      </c>
      <c r="S153" s="27" t="e">
        <f t="shared" si="24"/>
        <v>#VALUE!</v>
      </c>
      <c r="T153" s="28" t="e">
        <f t="shared" si="24"/>
        <v>#DIV/0!</v>
      </c>
    </row>
    <row r="154" spans="1:21" ht="31.5" x14ac:dyDescent="0.2">
      <c r="A154" s="63" t="s">
        <v>187</v>
      </c>
      <c r="B154" s="65">
        <v>1524975.8740960006</v>
      </c>
      <c r="C154" s="65">
        <v>3677705.9394959994</v>
      </c>
      <c r="D154" s="65">
        <v>937792.16645559273</v>
      </c>
      <c r="E154" s="65">
        <v>1429037.7393549997</v>
      </c>
      <c r="F154" s="66">
        <f t="shared" si="18"/>
        <v>7569511.7194025926</v>
      </c>
      <c r="G154" s="72">
        <v>1</v>
      </c>
      <c r="H154" s="68" t="s">
        <v>19</v>
      </c>
      <c r="I154" s="64">
        <f t="shared" si="15"/>
        <v>7569511.7194025926</v>
      </c>
      <c r="J154" s="294" t="s">
        <v>27</v>
      </c>
      <c r="K154" s="295"/>
      <c r="L154" s="295"/>
      <c r="M154" s="295"/>
      <c r="N154" s="295"/>
      <c r="O154" s="295"/>
      <c r="P154" s="295"/>
      <c r="Q154" s="296"/>
      <c r="R154" s="26">
        <f t="shared" si="23"/>
        <v>-100</v>
      </c>
      <c r="S154" s="27" t="e">
        <f t="shared" si="24"/>
        <v>#VALUE!</v>
      </c>
      <c r="T154" s="28">
        <f t="shared" si="24"/>
        <v>-100</v>
      </c>
      <c r="U154" s="2">
        <v>1002</v>
      </c>
    </row>
    <row r="155" spans="1:21" ht="47.25" x14ac:dyDescent="0.2">
      <c r="A155" s="63" t="s">
        <v>188</v>
      </c>
      <c r="B155" s="65">
        <v>1664108.1869869996</v>
      </c>
      <c r="C155" s="65">
        <v>1617409.7870819999</v>
      </c>
      <c r="D155" s="65">
        <v>681584.79758360854</v>
      </c>
      <c r="E155" s="65">
        <v>1145687.5943189997</v>
      </c>
      <c r="F155" s="66">
        <f t="shared" si="18"/>
        <v>5108790.3659716072</v>
      </c>
      <c r="G155" s="72">
        <v>15</v>
      </c>
      <c r="H155" s="68" t="s">
        <v>38</v>
      </c>
      <c r="I155" s="64">
        <f t="shared" si="15"/>
        <v>340586.02439810714</v>
      </c>
      <c r="J155" s="294" t="s">
        <v>27</v>
      </c>
      <c r="K155" s="295"/>
      <c r="L155" s="295"/>
      <c r="M155" s="295"/>
      <c r="N155" s="295"/>
      <c r="O155" s="295"/>
      <c r="P155" s="295"/>
      <c r="Q155" s="296"/>
      <c r="R155" s="26">
        <f t="shared" si="23"/>
        <v>-100</v>
      </c>
      <c r="S155" s="27" t="e">
        <f t="shared" si="24"/>
        <v>#VALUE!</v>
      </c>
      <c r="T155" s="28">
        <f t="shared" si="24"/>
        <v>-100</v>
      </c>
      <c r="U155" s="2">
        <v>1003</v>
      </c>
    </row>
    <row r="156" spans="1:21" ht="31.5" x14ac:dyDescent="0.2">
      <c r="A156" s="63" t="s">
        <v>189</v>
      </c>
      <c r="B156" s="65">
        <v>2226438.74866</v>
      </c>
      <c r="C156" s="65">
        <v>835174.59838300012</v>
      </c>
      <c r="D156" s="65">
        <v>555625.73121</v>
      </c>
      <c r="E156" s="65">
        <v>1148962.9698769997</v>
      </c>
      <c r="F156" s="66">
        <f t="shared" si="18"/>
        <v>4766202.04813</v>
      </c>
      <c r="G156" s="72">
        <v>5</v>
      </c>
      <c r="H156" s="68" t="s">
        <v>56</v>
      </c>
      <c r="I156" s="64">
        <f t="shared" si="15"/>
        <v>953240.40962599998</v>
      </c>
      <c r="J156" s="294" t="s">
        <v>27</v>
      </c>
      <c r="K156" s="295"/>
      <c r="L156" s="295"/>
      <c r="M156" s="295"/>
      <c r="N156" s="295"/>
      <c r="O156" s="295"/>
      <c r="P156" s="295"/>
      <c r="Q156" s="296"/>
      <c r="R156" s="26">
        <f t="shared" si="23"/>
        <v>-100</v>
      </c>
      <c r="S156" s="27" t="e">
        <f t="shared" si="24"/>
        <v>#VALUE!</v>
      </c>
      <c r="T156" s="28">
        <f t="shared" si="24"/>
        <v>-100</v>
      </c>
      <c r="U156" s="2">
        <v>1004</v>
      </c>
    </row>
    <row r="157" spans="1:21" x14ac:dyDescent="0.2">
      <c r="A157" s="63" t="s">
        <v>190</v>
      </c>
      <c r="B157" s="65">
        <v>1142474.4819549993</v>
      </c>
      <c r="C157" s="65">
        <v>8442038.9501419999</v>
      </c>
      <c r="D157" s="65">
        <v>1781180.4880558529</v>
      </c>
      <c r="E157" s="65">
        <v>2182273.1931456006</v>
      </c>
      <c r="F157" s="66">
        <f t="shared" si="18"/>
        <v>13547967.113298453</v>
      </c>
      <c r="G157" s="72">
        <v>1</v>
      </c>
      <c r="H157" s="68" t="s">
        <v>58</v>
      </c>
      <c r="I157" s="64">
        <f t="shared" si="15"/>
        <v>13547967.113298453</v>
      </c>
      <c r="J157" s="294" t="s">
        <v>27</v>
      </c>
      <c r="K157" s="295"/>
      <c r="L157" s="295"/>
      <c r="M157" s="295"/>
      <c r="N157" s="295"/>
      <c r="O157" s="295"/>
      <c r="P157" s="295"/>
      <c r="Q157" s="296"/>
      <c r="R157" s="26">
        <f t="shared" si="23"/>
        <v>-100</v>
      </c>
      <c r="S157" s="27" t="e">
        <f t="shared" si="24"/>
        <v>#VALUE!</v>
      </c>
      <c r="T157" s="28">
        <f t="shared" si="24"/>
        <v>-100</v>
      </c>
      <c r="U157" s="2">
        <v>1005</v>
      </c>
    </row>
    <row r="158" spans="1:21" s="60" customFormat="1" ht="47.25" x14ac:dyDescent="0.2">
      <c r="A158" s="30" t="s">
        <v>191</v>
      </c>
      <c r="B158" s="31">
        <v>1142474.4819549993</v>
      </c>
      <c r="C158" s="31">
        <v>8442038.9501419999</v>
      </c>
      <c r="D158" s="31">
        <v>1781180.4880558529</v>
      </c>
      <c r="E158" s="31">
        <v>2182273.1931456006</v>
      </c>
      <c r="F158" s="32">
        <f>SUM(B158:E158)</f>
        <v>13547967.113298453</v>
      </c>
      <c r="G158" s="33">
        <v>1</v>
      </c>
      <c r="H158" s="58" t="s">
        <v>58</v>
      </c>
      <c r="I158" s="35">
        <f>+F158/G158</f>
        <v>13547967.113298453</v>
      </c>
      <c r="J158" s="35">
        <v>7135300.0944079999</v>
      </c>
      <c r="K158" s="35">
        <v>3865216.8757529999</v>
      </c>
      <c r="L158" s="35">
        <v>795409.97333299997</v>
      </c>
      <c r="M158" s="35">
        <v>1411694.6291899995</v>
      </c>
      <c r="N158" s="35">
        <f>SUM(J158:M158)</f>
        <v>13207621.572683999</v>
      </c>
      <c r="O158" s="35">
        <v>3</v>
      </c>
      <c r="P158" s="35" t="s">
        <v>38</v>
      </c>
      <c r="Q158" s="35">
        <f>N158/O158</f>
        <v>4402540.5242280001</v>
      </c>
      <c r="R158" s="36">
        <f t="shared" si="23"/>
        <v>-2.5121521019960014</v>
      </c>
      <c r="S158" s="37" t="e">
        <f t="shared" si="24"/>
        <v>#VALUE!</v>
      </c>
      <c r="T158" s="38">
        <f t="shared" si="24"/>
        <v>-67.504050700665346</v>
      </c>
      <c r="U158" s="60">
        <v>1005</v>
      </c>
    </row>
    <row r="159" spans="1:21" ht="47.25" x14ac:dyDescent="0.2">
      <c r="A159" s="63" t="s">
        <v>192</v>
      </c>
      <c r="B159" s="297" t="s">
        <v>26</v>
      </c>
      <c r="C159" s="298"/>
      <c r="D159" s="298"/>
      <c r="E159" s="298"/>
      <c r="F159" s="298"/>
      <c r="G159" s="298"/>
      <c r="H159" s="298"/>
      <c r="I159" s="299"/>
      <c r="J159" s="64">
        <v>8274238.5726650003</v>
      </c>
      <c r="K159" s="64">
        <v>2346151.6386569999</v>
      </c>
      <c r="L159" s="64">
        <v>583686.78689100011</v>
      </c>
      <c r="M159" s="64">
        <v>1145969.6147999999</v>
      </c>
      <c r="N159" s="64">
        <f>SUM(J159:M159)</f>
        <v>12350046.613013001</v>
      </c>
      <c r="O159" s="64">
        <v>1</v>
      </c>
      <c r="P159" s="64" t="s">
        <v>19</v>
      </c>
      <c r="Q159" s="64">
        <f>N159/O159</f>
        <v>12350046.613013001</v>
      </c>
      <c r="R159" s="26" t="e">
        <f t="shared" si="23"/>
        <v>#DIV/0!</v>
      </c>
      <c r="S159" s="27" t="e">
        <f t="shared" si="24"/>
        <v>#VALUE!</v>
      </c>
      <c r="T159" s="28" t="e">
        <f t="shared" si="24"/>
        <v>#DIV/0!</v>
      </c>
    </row>
    <row r="160" spans="1:21" ht="31.5" x14ac:dyDescent="0.2">
      <c r="A160" s="63" t="s">
        <v>193</v>
      </c>
      <c r="B160" s="297" t="s">
        <v>26</v>
      </c>
      <c r="C160" s="298"/>
      <c r="D160" s="298"/>
      <c r="E160" s="298"/>
      <c r="F160" s="298"/>
      <c r="G160" s="298"/>
      <c r="H160" s="298"/>
      <c r="I160" s="299"/>
      <c r="J160" s="64">
        <v>6811865.6287310012</v>
      </c>
      <c r="K160" s="64">
        <v>2823902.0089559997</v>
      </c>
      <c r="L160" s="64">
        <v>459378.274981</v>
      </c>
      <c r="M160" s="64">
        <v>1136707.3866569998</v>
      </c>
      <c r="N160" s="64">
        <f>SUM(J160:M160)</f>
        <v>11231853.299325</v>
      </c>
      <c r="O160" s="64">
        <v>2</v>
      </c>
      <c r="P160" s="64" t="s">
        <v>56</v>
      </c>
      <c r="Q160" s="64">
        <f>N160/O160</f>
        <v>5615926.6496625002</v>
      </c>
      <c r="R160" s="26" t="e">
        <f t="shared" si="23"/>
        <v>#DIV/0!</v>
      </c>
      <c r="S160" s="27" t="e">
        <f t="shared" si="24"/>
        <v>#VALUE!</v>
      </c>
      <c r="T160" s="28" t="e">
        <f t="shared" si="24"/>
        <v>#DIV/0!</v>
      </c>
    </row>
    <row r="161" spans="1:21" ht="126" x14ac:dyDescent="0.2">
      <c r="A161" s="63" t="s">
        <v>194</v>
      </c>
      <c r="B161" s="65">
        <v>40600385.929990999</v>
      </c>
      <c r="C161" s="65">
        <v>2186893.6376379998</v>
      </c>
      <c r="D161" s="65">
        <v>1414553.3742507016</v>
      </c>
      <c r="E161" s="65">
        <v>1368587.375642</v>
      </c>
      <c r="F161" s="66">
        <f t="shared" si="18"/>
        <v>45570420.317521706</v>
      </c>
      <c r="G161" s="67">
        <v>26</v>
      </c>
      <c r="H161" s="68" t="s">
        <v>144</v>
      </c>
      <c r="I161" s="64">
        <f t="shared" si="15"/>
        <v>1752708.4737508348</v>
      </c>
      <c r="J161" s="294" t="s">
        <v>27</v>
      </c>
      <c r="K161" s="295"/>
      <c r="L161" s="295"/>
      <c r="M161" s="295"/>
      <c r="N161" s="295"/>
      <c r="O161" s="295"/>
      <c r="P161" s="295"/>
      <c r="Q161" s="296"/>
      <c r="R161" s="26">
        <f t="shared" si="23"/>
        <v>-100</v>
      </c>
      <c r="S161" s="27" t="e">
        <f t="shared" si="24"/>
        <v>#VALUE!</v>
      </c>
      <c r="T161" s="28">
        <f t="shared" si="24"/>
        <v>-100</v>
      </c>
      <c r="U161" s="2">
        <v>1101</v>
      </c>
    </row>
    <row r="162" spans="1:21" x14ac:dyDescent="0.2">
      <c r="A162" s="63" t="s">
        <v>195</v>
      </c>
      <c r="B162" s="297" t="s">
        <v>26</v>
      </c>
      <c r="C162" s="298"/>
      <c r="D162" s="298"/>
      <c r="E162" s="298"/>
      <c r="F162" s="298"/>
      <c r="G162" s="298"/>
      <c r="H162" s="298"/>
      <c r="I162" s="299"/>
      <c r="J162" s="66">
        <v>48446893.098485</v>
      </c>
      <c r="K162" s="66">
        <v>15960993.201306999</v>
      </c>
      <c r="L162" s="66">
        <v>3074954.175473935</v>
      </c>
      <c r="M162" s="66">
        <v>3350338.7073760005</v>
      </c>
      <c r="N162" s="66">
        <f>SUM(J162:M162)</f>
        <v>70833179.182641938</v>
      </c>
      <c r="O162" s="64">
        <v>1</v>
      </c>
      <c r="P162" s="64" t="s">
        <v>58</v>
      </c>
      <c r="Q162" s="64">
        <f>N162/O162</f>
        <v>70833179.182641938</v>
      </c>
      <c r="R162" s="26" t="e">
        <f t="shared" si="23"/>
        <v>#DIV/0!</v>
      </c>
      <c r="S162" s="27" t="e">
        <f t="shared" si="24"/>
        <v>#VALUE!</v>
      </c>
      <c r="T162" s="28" t="e">
        <f t="shared" si="24"/>
        <v>#DIV/0!</v>
      </c>
    </row>
    <row r="163" spans="1:21" ht="31.5" x14ac:dyDescent="0.2">
      <c r="A163" s="63" t="s">
        <v>196</v>
      </c>
      <c r="B163" s="297" t="s">
        <v>26</v>
      </c>
      <c r="C163" s="298"/>
      <c r="D163" s="298"/>
      <c r="E163" s="298"/>
      <c r="F163" s="298"/>
      <c r="G163" s="298"/>
      <c r="H163" s="298"/>
      <c r="I163" s="299"/>
      <c r="J163" s="82">
        <v>24139840.885251999</v>
      </c>
      <c r="K163" s="82">
        <v>4857687.7114440007</v>
      </c>
      <c r="L163" s="82">
        <v>1807610.802441</v>
      </c>
      <c r="M163" s="82">
        <v>1619848.9283939998</v>
      </c>
      <c r="N163" s="66">
        <f>SUM(J163:M163)</f>
        <v>32424988.327531002</v>
      </c>
      <c r="O163" s="77">
        <v>1</v>
      </c>
      <c r="P163" s="77" t="s">
        <v>19</v>
      </c>
      <c r="Q163" s="77">
        <f>N163/O163</f>
        <v>32424988.327531002</v>
      </c>
      <c r="R163" s="26" t="e">
        <f t="shared" si="23"/>
        <v>#DIV/0!</v>
      </c>
      <c r="S163" s="27" t="e">
        <f t="shared" si="24"/>
        <v>#VALUE!</v>
      </c>
      <c r="T163" s="28" t="e">
        <f t="shared" si="24"/>
        <v>#DIV/0!</v>
      </c>
    </row>
    <row r="164" spans="1:21" ht="31.5" x14ac:dyDescent="0.2">
      <c r="A164" s="63" t="s">
        <v>197</v>
      </c>
      <c r="B164" s="297" t="s">
        <v>26</v>
      </c>
      <c r="C164" s="298"/>
      <c r="D164" s="298"/>
      <c r="E164" s="298"/>
      <c r="F164" s="298"/>
      <c r="G164" s="298"/>
      <c r="H164" s="298"/>
      <c r="I164" s="299"/>
      <c r="J164" s="82">
        <v>5285092.5455910005</v>
      </c>
      <c r="K164" s="82">
        <v>867761.83299799997</v>
      </c>
      <c r="L164" s="82">
        <v>426308.75528000004</v>
      </c>
      <c r="M164" s="82">
        <v>339124.740903</v>
      </c>
      <c r="N164" s="66">
        <f>SUM(J164:M164)</f>
        <v>6918287.8747720011</v>
      </c>
      <c r="O164" s="77">
        <v>144</v>
      </c>
      <c r="P164" s="77" t="s">
        <v>38</v>
      </c>
      <c r="Q164" s="77">
        <f>N164/O164</f>
        <v>48043.665797027788</v>
      </c>
      <c r="R164" s="26" t="e">
        <f t="shared" si="23"/>
        <v>#DIV/0!</v>
      </c>
      <c r="S164" s="27" t="e">
        <f t="shared" si="24"/>
        <v>#VALUE!</v>
      </c>
      <c r="T164" s="28" t="e">
        <f t="shared" si="24"/>
        <v>#DIV/0!</v>
      </c>
    </row>
    <row r="165" spans="1:21" ht="31.5" x14ac:dyDescent="0.2">
      <c r="A165" s="63" t="s">
        <v>198</v>
      </c>
      <c r="B165" s="297" t="s">
        <v>26</v>
      </c>
      <c r="C165" s="298"/>
      <c r="D165" s="298"/>
      <c r="E165" s="298"/>
      <c r="F165" s="298"/>
      <c r="G165" s="298"/>
      <c r="H165" s="298"/>
      <c r="I165" s="299"/>
      <c r="J165" s="66">
        <v>3373103.2933680005</v>
      </c>
      <c r="K165" s="66">
        <v>1850709.6171570003</v>
      </c>
      <c r="L165" s="66">
        <v>218291.88683800001</v>
      </c>
      <c r="M165" s="66">
        <v>190899.88062500002</v>
      </c>
      <c r="N165" s="66">
        <f>SUM(J165:M165)</f>
        <v>5633004.6779880011</v>
      </c>
      <c r="O165" s="64">
        <v>3</v>
      </c>
      <c r="P165" s="64" t="s">
        <v>56</v>
      </c>
      <c r="Q165" s="64">
        <f>N165/O165</f>
        <v>1877668.2259960005</v>
      </c>
      <c r="R165" s="26" t="e">
        <f t="shared" si="23"/>
        <v>#DIV/0!</v>
      </c>
      <c r="S165" s="27" t="e">
        <f t="shared" si="24"/>
        <v>#VALUE!</v>
      </c>
      <c r="T165" s="28" t="e">
        <f t="shared" si="24"/>
        <v>#DIV/0!</v>
      </c>
    </row>
    <row r="166" spans="1:21" ht="63" x14ac:dyDescent="0.2">
      <c r="A166" s="63" t="s">
        <v>199</v>
      </c>
      <c r="B166" s="65">
        <v>24441555.623489</v>
      </c>
      <c r="C166" s="65">
        <v>3078858.8817970008</v>
      </c>
      <c r="D166" s="65">
        <v>1846812.8065140033</v>
      </c>
      <c r="E166" s="65">
        <v>1720389.7771382001</v>
      </c>
      <c r="F166" s="66">
        <f t="shared" si="18"/>
        <v>31087617.088938203</v>
      </c>
      <c r="G166" s="72">
        <v>1</v>
      </c>
      <c r="H166" s="68" t="s">
        <v>58</v>
      </c>
      <c r="I166" s="64">
        <f t="shared" si="15"/>
        <v>31087617.088938203</v>
      </c>
      <c r="J166" s="294" t="s">
        <v>27</v>
      </c>
      <c r="K166" s="295"/>
      <c r="L166" s="295"/>
      <c r="M166" s="295"/>
      <c r="N166" s="295"/>
      <c r="O166" s="295"/>
      <c r="P166" s="295"/>
      <c r="Q166" s="296"/>
      <c r="R166" s="26">
        <f t="shared" si="23"/>
        <v>-100</v>
      </c>
      <c r="S166" s="27" t="e">
        <f t="shared" si="24"/>
        <v>#VALUE!</v>
      </c>
      <c r="T166" s="28">
        <f t="shared" si="24"/>
        <v>-100</v>
      </c>
      <c r="U166" s="2">
        <v>1102</v>
      </c>
    </row>
    <row r="167" spans="1:21" ht="47.25" x14ac:dyDescent="0.2">
      <c r="A167" s="63" t="s">
        <v>200</v>
      </c>
      <c r="B167" s="65">
        <v>5324935.1089329999</v>
      </c>
      <c r="C167" s="65">
        <v>814023.83179500012</v>
      </c>
      <c r="D167" s="65">
        <v>368279.64548448403</v>
      </c>
      <c r="E167" s="65">
        <v>349470.19210900005</v>
      </c>
      <c r="F167" s="66">
        <f t="shared" si="18"/>
        <v>6856708.7783214841</v>
      </c>
      <c r="G167" s="72">
        <v>5</v>
      </c>
      <c r="H167" s="68" t="s">
        <v>144</v>
      </c>
      <c r="I167" s="64">
        <f t="shared" si="15"/>
        <v>1371341.7556642969</v>
      </c>
      <c r="J167" s="294" t="s">
        <v>27</v>
      </c>
      <c r="K167" s="295"/>
      <c r="L167" s="295"/>
      <c r="M167" s="295"/>
      <c r="N167" s="295"/>
      <c r="O167" s="295"/>
      <c r="P167" s="295"/>
      <c r="Q167" s="296"/>
      <c r="R167" s="26">
        <f t="shared" si="23"/>
        <v>-100</v>
      </c>
      <c r="S167" s="27" t="e">
        <f t="shared" si="24"/>
        <v>#VALUE!</v>
      </c>
      <c r="T167" s="28">
        <f t="shared" si="24"/>
        <v>-100</v>
      </c>
      <c r="U167" s="2">
        <v>1103</v>
      </c>
    </row>
    <row r="168" spans="1:21" ht="47.25" x14ac:dyDescent="0.2">
      <c r="A168" s="63" t="s">
        <v>201</v>
      </c>
      <c r="B168" s="65">
        <v>3482685.6843220005</v>
      </c>
      <c r="C168" s="65">
        <v>862781.68498400005</v>
      </c>
      <c r="D168" s="65">
        <v>204201.82107600002</v>
      </c>
      <c r="E168" s="65">
        <v>218215.402868</v>
      </c>
      <c r="F168" s="66">
        <f t="shared" si="18"/>
        <v>4767884.5932500008</v>
      </c>
      <c r="G168" s="72">
        <v>1</v>
      </c>
      <c r="H168" s="68" t="s">
        <v>58</v>
      </c>
      <c r="I168" s="64">
        <f t="shared" ref="I168:I174" si="27">+F168/G168</f>
        <v>4767884.5932500008</v>
      </c>
      <c r="J168" s="294" t="s">
        <v>27</v>
      </c>
      <c r="K168" s="295"/>
      <c r="L168" s="295"/>
      <c r="M168" s="295"/>
      <c r="N168" s="295"/>
      <c r="O168" s="295"/>
      <c r="P168" s="295"/>
      <c r="Q168" s="296"/>
      <c r="R168" s="26">
        <f t="shared" si="23"/>
        <v>-100</v>
      </c>
      <c r="S168" s="27" t="e">
        <f t="shared" si="24"/>
        <v>#VALUE!</v>
      </c>
      <c r="T168" s="28">
        <f t="shared" si="24"/>
        <v>-100</v>
      </c>
      <c r="U168" s="2">
        <v>1104</v>
      </c>
    </row>
    <row r="169" spans="1:21" ht="47.25" x14ac:dyDescent="0.2">
      <c r="A169" s="63" t="s">
        <v>202</v>
      </c>
      <c r="B169" s="65">
        <v>1173253.1415750002</v>
      </c>
      <c r="C169" s="65">
        <v>239913.14929500001</v>
      </c>
      <c r="D169" s="65">
        <v>92027.628987561722</v>
      </c>
      <c r="E169" s="65">
        <v>78633.341362000006</v>
      </c>
      <c r="F169" s="66">
        <f t="shared" si="18"/>
        <v>1583827.2612195618</v>
      </c>
      <c r="G169" s="72">
        <v>5</v>
      </c>
      <c r="H169" s="68" t="s">
        <v>144</v>
      </c>
      <c r="I169" s="64">
        <f t="shared" si="27"/>
        <v>316765.45224391238</v>
      </c>
      <c r="J169" s="294" t="s">
        <v>27</v>
      </c>
      <c r="K169" s="295"/>
      <c r="L169" s="295"/>
      <c r="M169" s="295"/>
      <c r="N169" s="295"/>
      <c r="O169" s="295"/>
      <c r="P169" s="295"/>
      <c r="Q169" s="296"/>
      <c r="R169" s="26">
        <f t="shared" si="23"/>
        <v>-100</v>
      </c>
      <c r="S169" s="27" t="e">
        <f t="shared" si="24"/>
        <v>#VALUE!</v>
      </c>
      <c r="T169" s="28">
        <f t="shared" si="24"/>
        <v>-100</v>
      </c>
      <c r="U169" s="2">
        <v>1105</v>
      </c>
    </row>
    <row r="170" spans="1:21" ht="47.25" x14ac:dyDescent="0.2">
      <c r="A170" s="63" t="s">
        <v>203</v>
      </c>
      <c r="B170" s="65">
        <v>715227.213644</v>
      </c>
      <c r="C170" s="65">
        <v>75590.729621999999</v>
      </c>
      <c r="D170" s="65">
        <v>45223.254386000001</v>
      </c>
      <c r="E170" s="65">
        <v>534760.51698399999</v>
      </c>
      <c r="F170" s="66">
        <f t="shared" si="18"/>
        <v>1370801.7146359999</v>
      </c>
      <c r="G170" s="72">
        <v>2</v>
      </c>
      <c r="H170" s="68" t="s">
        <v>58</v>
      </c>
      <c r="I170" s="64">
        <f t="shared" si="27"/>
        <v>685400.85731799994</v>
      </c>
      <c r="J170" s="64">
        <v>3177933.0307799997</v>
      </c>
      <c r="K170" s="64">
        <v>0</v>
      </c>
      <c r="L170" s="64">
        <v>68643.113045999999</v>
      </c>
      <c r="M170" s="64">
        <v>1383770.0651259997</v>
      </c>
      <c r="N170" s="64">
        <f>SUM(J170:M170)</f>
        <v>4630346.2089519994</v>
      </c>
      <c r="O170" s="64">
        <v>5</v>
      </c>
      <c r="P170" s="64" t="s">
        <v>58</v>
      </c>
      <c r="Q170" s="64">
        <f>N170/O170</f>
        <v>926069.24179039989</v>
      </c>
      <c r="R170" s="83">
        <f t="shared" si="23"/>
        <v>237.78380633128498</v>
      </c>
      <c r="S170" s="16" t="e">
        <f t="shared" si="24"/>
        <v>#VALUE!</v>
      </c>
      <c r="T170" s="17">
        <f t="shared" si="24"/>
        <v>35.113522532513983</v>
      </c>
      <c r="U170" s="2">
        <v>1201</v>
      </c>
    </row>
    <row r="171" spans="1:21" ht="47.25" x14ac:dyDescent="0.2">
      <c r="A171" s="63" t="s">
        <v>204</v>
      </c>
      <c r="B171" s="65">
        <v>1890674.2634439999</v>
      </c>
      <c r="C171" s="65">
        <v>74775.283721999993</v>
      </c>
      <c r="D171" s="65">
        <v>34154.100685999998</v>
      </c>
      <c r="E171" s="65">
        <v>244347.56418399999</v>
      </c>
      <c r="F171" s="66">
        <f t="shared" si="18"/>
        <v>2243951.2120359996</v>
      </c>
      <c r="G171" s="72">
        <v>1</v>
      </c>
      <c r="H171" s="77" t="s">
        <v>58</v>
      </c>
      <c r="I171" s="64">
        <f t="shared" si="27"/>
        <v>2243951.2120359996</v>
      </c>
      <c r="J171" s="64">
        <v>1478449.0981800002</v>
      </c>
      <c r="K171" s="64">
        <v>0</v>
      </c>
      <c r="L171" s="64">
        <v>42021.933546</v>
      </c>
      <c r="M171" s="64">
        <v>629737.62802599999</v>
      </c>
      <c r="N171" s="64">
        <f>SUM(J171:M171)</f>
        <v>2150208.6597520001</v>
      </c>
      <c r="O171" s="64">
        <v>1</v>
      </c>
      <c r="P171" s="64" t="s">
        <v>58</v>
      </c>
      <c r="Q171" s="64">
        <f>N171/O171</f>
        <v>2150208.6597520001</v>
      </c>
      <c r="R171" s="83">
        <f t="shared" si="23"/>
        <v>-4.1775664186096222</v>
      </c>
      <c r="S171" s="16" t="e">
        <f t="shared" si="24"/>
        <v>#VALUE!</v>
      </c>
      <c r="T171" s="17">
        <f t="shared" si="24"/>
        <v>-4.1775664186096222</v>
      </c>
      <c r="U171" s="2">
        <v>1202</v>
      </c>
    </row>
    <row r="172" spans="1:21" ht="47.25" x14ac:dyDescent="0.2">
      <c r="A172" s="63" t="s">
        <v>205</v>
      </c>
      <c r="B172" s="65">
        <v>423667.40048999991</v>
      </c>
      <c r="C172" s="65">
        <v>480791.43635699991</v>
      </c>
      <c r="D172" s="65">
        <v>278454.19144199998</v>
      </c>
      <c r="E172" s="65">
        <v>291377.19820800005</v>
      </c>
      <c r="F172" s="66">
        <f t="shared" si="18"/>
        <v>1474290.2264969999</v>
      </c>
      <c r="G172" s="72">
        <v>1</v>
      </c>
      <c r="H172" s="77" t="s">
        <v>58</v>
      </c>
      <c r="I172" s="64">
        <f t="shared" si="27"/>
        <v>1474290.2264969999</v>
      </c>
      <c r="J172" s="64">
        <v>690601.91969599994</v>
      </c>
      <c r="K172" s="64">
        <v>482176.27566300007</v>
      </c>
      <c r="L172" s="64">
        <v>236196.74384199997</v>
      </c>
      <c r="M172" s="64">
        <v>487646.99259100005</v>
      </c>
      <c r="N172" s="64">
        <f>SUM(J172:M172)</f>
        <v>1896621.9317919998</v>
      </c>
      <c r="O172" s="64">
        <v>1</v>
      </c>
      <c r="P172" s="64" t="s">
        <v>58</v>
      </c>
      <c r="Q172" s="64">
        <f>N172/O172</f>
        <v>1896621.9317919998</v>
      </c>
      <c r="R172" s="83">
        <f t="shared" si="23"/>
        <v>28.646442722372576</v>
      </c>
      <c r="S172" s="16" t="e">
        <f t="shared" si="24"/>
        <v>#VALUE!</v>
      </c>
      <c r="T172" s="17">
        <f t="shared" si="24"/>
        <v>28.646442722372576</v>
      </c>
      <c r="U172" s="2">
        <v>1203</v>
      </c>
    </row>
    <row r="173" spans="1:21" ht="63" x14ac:dyDescent="0.2">
      <c r="A173" s="63" t="s">
        <v>206</v>
      </c>
      <c r="B173" s="65">
        <v>22142690.706153002</v>
      </c>
      <c r="C173" s="65">
        <v>15030139.965135001</v>
      </c>
      <c r="D173" s="65">
        <v>1269407.536993094</v>
      </c>
      <c r="E173" s="65">
        <v>1684300.4901898005</v>
      </c>
      <c r="F173" s="66">
        <f t="shared" si="18"/>
        <v>40126538.698470891</v>
      </c>
      <c r="G173" s="67">
        <v>51</v>
      </c>
      <c r="H173" s="68" t="s">
        <v>19</v>
      </c>
      <c r="I173" s="64">
        <f t="shared" si="27"/>
        <v>786794.87644060573</v>
      </c>
      <c r="J173" s="64">
        <v>32384301.238681</v>
      </c>
      <c r="K173" s="64">
        <v>2808376.8091259999</v>
      </c>
      <c r="L173" s="64">
        <v>1165481.58005</v>
      </c>
      <c r="M173" s="64">
        <v>1726125.5581240002</v>
      </c>
      <c r="N173" s="64">
        <f>SUM(J173:M173)</f>
        <v>38084285.185980998</v>
      </c>
      <c r="O173" s="64">
        <v>55</v>
      </c>
      <c r="P173" s="64" t="s">
        <v>19</v>
      </c>
      <c r="Q173" s="64">
        <f>N173/O173</f>
        <v>692441.54883601819</v>
      </c>
      <c r="R173" s="83">
        <f t="shared" si="23"/>
        <v>-5.0895332085239566</v>
      </c>
      <c r="S173" s="16" t="e">
        <f t="shared" si="24"/>
        <v>#VALUE!</v>
      </c>
      <c r="T173" s="17">
        <f t="shared" si="24"/>
        <v>-11.992112611540394</v>
      </c>
      <c r="U173" s="2">
        <v>1301</v>
      </c>
    </row>
    <row r="174" spans="1:21" ht="31.5" x14ac:dyDescent="0.2">
      <c r="A174" s="63" t="s">
        <v>207</v>
      </c>
      <c r="B174" s="65">
        <v>10302099.674424</v>
      </c>
      <c r="C174" s="65">
        <v>1405194.7607699998</v>
      </c>
      <c r="D174" s="65">
        <v>879339.80281669111</v>
      </c>
      <c r="E174" s="65">
        <v>1411241.2529736001</v>
      </c>
      <c r="F174" s="66">
        <f t="shared" si="18"/>
        <v>13997875.490984291</v>
      </c>
      <c r="G174" s="67">
        <v>7250</v>
      </c>
      <c r="H174" s="68" t="s">
        <v>52</v>
      </c>
      <c r="I174" s="64">
        <f t="shared" si="27"/>
        <v>1930.741447032316</v>
      </c>
      <c r="J174" s="294" t="s">
        <v>27</v>
      </c>
      <c r="K174" s="295"/>
      <c r="L174" s="295"/>
      <c r="M174" s="295"/>
      <c r="N174" s="295"/>
      <c r="O174" s="295"/>
      <c r="P174" s="295"/>
      <c r="Q174" s="296"/>
      <c r="R174" s="83">
        <f t="shared" si="23"/>
        <v>-100</v>
      </c>
      <c r="S174" s="16" t="e">
        <f t="shared" si="24"/>
        <v>#VALUE!</v>
      </c>
      <c r="T174" s="17">
        <f t="shared" si="24"/>
        <v>-100</v>
      </c>
      <c r="U174" s="2">
        <v>1401</v>
      </c>
    </row>
    <row r="175" spans="1:21" ht="47.25" x14ac:dyDescent="0.2">
      <c r="A175" s="63" t="s">
        <v>208</v>
      </c>
      <c r="B175" s="297" t="s">
        <v>26</v>
      </c>
      <c r="C175" s="298"/>
      <c r="D175" s="298"/>
      <c r="E175" s="298"/>
      <c r="F175" s="298"/>
      <c r="G175" s="298"/>
      <c r="H175" s="298"/>
      <c r="I175" s="299"/>
      <c r="J175" s="64">
        <v>9717466.1201319993</v>
      </c>
      <c r="K175" s="64">
        <v>1500109.126646</v>
      </c>
      <c r="L175" s="64">
        <v>715057.14234200015</v>
      </c>
      <c r="M175" s="64">
        <v>1429848.8833060001</v>
      </c>
      <c r="N175" s="64">
        <f>SUM(J175:M175)</f>
        <v>13362481.272426</v>
      </c>
      <c r="O175" s="64">
        <v>12596</v>
      </c>
      <c r="P175" s="64" t="s">
        <v>144</v>
      </c>
      <c r="Q175" s="64">
        <f t="shared" ref="Q175:Q196" si="28">N175/O175</f>
        <v>1060.8511648480469</v>
      </c>
      <c r="R175" s="83" t="e">
        <f t="shared" si="23"/>
        <v>#DIV/0!</v>
      </c>
      <c r="S175" s="16" t="e">
        <f t="shared" si="24"/>
        <v>#VALUE!</v>
      </c>
      <c r="T175" s="17" t="e">
        <f t="shared" si="24"/>
        <v>#DIV/0!</v>
      </c>
    </row>
    <row r="176" spans="1:21" ht="31.5" x14ac:dyDescent="0.2">
      <c r="A176" s="63" t="s">
        <v>209</v>
      </c>
      <c r="B176" s="65">
        <v>4330873.4905020008</v>
      </c>
      <c r="C176" s="65">
        <v>802435.63125300012</v>
      </c>
      <c r="D176" s="65">
        <v>376011.46977495553</v>
      </c>
      <c r="E176" s="65">
        <v>676652.89897600003</v>
      </c>
      <c r="F176" s="66">
        <f t="shared" si="18"/>
        <v>6185973.490505957</v>
      </c>
      <c r="G176" s="72">
        <v>7</v>
      </c>
      <c r="H176" s="68" t="s">
        <v>19</v>
      </c>
      <c r="I176" s="64">
        <f>+F176/G176</f>
        <v>883710.49864370818</v>
      </c>
      <c r="J176" s="64">
        <v>3922535.5530219995</v>
      </c>
      <c r="K176" s="64">
        <v>849740.10678200005</v>
      </c>
      <c r="L176" s="64">
        <v>288253.95944499999</v>
      </c>
      <c r="M176" s="64">
        <v>692612.51198299997</v>
      </c>
      <c r="N176" s="64">
        <f t="shared" ref="N176:N196" si="29">SUM(J176:M176)</f>
        <v>5753142.131231999</v>
      </c>
      <c r="O176" s="64">
        <v>5</v>
      </c>
      <c r="P176" s="64" t="s">
        <v>19</v>
      </c>
      <c r="Q176" s="64">
        <f t="shared" si="28"/>
        <v>1150628.4262463998</v>
      </c>
      <c r="R176" s="83">
        <f t="shared" si="23"/>
        <v>-6.9969805065969712</v>
      </c>
      <c r="S176" s="16" t="e">
        <f t="shared" si="24"/>
        <v>#VALUE!</v>
      </c>
      <c r="T176" s="17">
        <f t="shared" si="24"/>
        <v>30.20422729076423</v>
      </c>
      <c r="U176" s="2">
        <v>1402</v>
      </c>
    </row>
    <row r="177" spans="1:21" ht="47.25" x14ac:dyDescent="0.2">
      <c r="A177" s="63" t="s">
        <v>210</v>
      </c>
      <c r="B177" s="65">
        <v>5460811.0021980004</v>
      </c>
      <c r="C177" s="65">
        <v>967570.9870180001</v>
      </c>
      <c r="D177" s="65">
        <v>451889.01069803123</v>
      </c>
      <c r="E177" s="65">
        <v>844742.81667400012</v>
      </c>
      <c r="F177" s="66">
        <f t="shared" si="18"/>
        <v>7725013.816588033</v>
      </c>
      <c r="G177" s="72">
        <v>13</v>
      </c>
      <c r="H177" s="68" t="s">
        <v>38</v>
      </c>
      <c r="I177" s="64">
        <f>+F177/G177</f>
        <v>594231.83204523334</v>
      </c>
      <c r="J177" s="64">
        <v>5114770.8324790001</v>
      </c>
      <c r="K177" s="64">
        <v>999854.06895700004</v>
      </c>
      <c r="L177" s="64">
        <v>364921.44271500007</v>
      </c>
      <c r="M177" s="64">
        <v>855365.91264400003</v>
      </c>
      <c r="N177" s="64">
        <f t="shared" si="29"/>
        <v>7334912.2567950003</v>
      </c>
      <c r="O177" s="64">
        <v>13</v>
      </c>
      <c r="P177" s="64" t="s">
        <v>38</v>
      </c>
      <c r="Q177" s="64">
        <f t="shared" si="28"/>
        <v>564224.01975346159</v>
      </c>
      <c r="R177" s="83">
        <f t="shared" si="23"/>
        <v>-5.0498493472641046</v>
      </c>
      <c r="S177" s="16" t="e">
        <f t="shared" si="24"/>
        <v>#VALUE!</v>
      </c>
      <c r="T177" s="17">
        <f t="shared" si="24"/>
        <v>-5.0498493472641064</v>
      </c>
      <c r="U177" s="2">
        <v>1403</v>
      </c>
    </row>
    <row r="178" spans="1:21" ht="31.5" x14ac:dyDescent="0.2">
      <c r="A178" s="63" t="s">
        <v>211</v>
      </c>
      <c r="B178" s="65">
        <v>3097764.589042</v>
      </c>
      <c r="C178" s="65">
        <v>574686.43430099997</v>
      </c>
      <c r="D178" s="65">
        <v>259962.82528199998</v>
      </c>
      <c r="E178" s="65">
        <v>592501.48945699993</v>
      </c>
      <c r="F178" s="66">
        <f t="shared" si="18"/>
        <v>4524915.3380819997</v>
      </c>
      <c r="G178" s="72">
        <v>5</v>
      </c>
      <c r="H178" s="68" t="s">
        <v>56</v>
      </c>
      <c r="I178" s="64">
        <f>+F178/G178</f>
        <v>904983.06761639996</v>
      </c>
      <c r="J178" s="64">
        <v>2736986.3786979998</v>
      </c>
      <c r="K178" s="64">
        <v>592524.92865599995</v>
      </c>
      <c r="L178" s="64">
        <v>193136.03776100001</v>
      </c>
      <c r="M178" s="64">
        <v>616201.29977199994</v>
      </c>
      <c r="N178" s="64">
        <f t="shared" si="29"/>
        <v>4138848.6448869994</v>
      </c>
      <c r="O178" s="64">
        <v>7</v>
      </c>
      <c r="P178" s="64" t="s">
        <v>56</v>
      </c>
      <c r="Q178" s="64">
        <f t="shared" si="28"/>
        <v>591264.09212671418</v>
      </c>
      <c r="R178" s="83">
        <f t="shared" si="23"/>
        <v>-8.5320202556241522</v>
      </c>
      <c r="S178" s="16" t="e">
        <f t="shared" si="24"/>
        <v>#VALUE!</v>
      </c>
      <c r="T178" s="17">
        <f t="shared" si="24"/>
        <v>-34.665728754017252</v>
      </c>
      <c r="U178" s="2">
        <v>1404</v>
      </c>
    </row>
    <row r="179" spans="1:21" x14ac:dyDescent="0.2">
      <c r="A179" s="63" t="s">
        <v>212</v>
      </c>
      <c r="B179" s="65">
        <v>3763607.0468660006</v>
      </c>
      <c r="C179" s="65">
        <v>564216.01616700005</v>
      </c>
      <c r="D179" s="65">
        <v>327453.4862073618</v>
      </c>
      <c r="E179" s="65">
        <v>586017.1694461999</v>
      </c>
      <c r="F179" s="66">
        <f t="shared" si="18"/>
        <v>5241293.718686562</v>
      </c>
      <c r="G179" s="72">
        <v>1</v>
      </c>
      <c r="H179" s="68" t="s">
        <v>58</v>
      </c>
      <c r="I179" s="64">
        <f>+F179/G179</f>
        <v>5241293.718686562</v>
      </c>
      <c r="J179" s="64">
        <v>3475824.4238039996</v>
      </c>
      <c r="K179" s="64">
        <v>576303.68481200002</v>
      </c>
      <c r="L179" s="64">
        <v>260168.21006099999</v>
      </c>
      <c r="M179" s="64">
        <v>549473.86978399986</v>
      </c>
      <c r="N179" s="64">
        <f t="shared" si="29"/>
        <v>4861770.1884610001</v>
      </c>
      <c r="O179" s="64">
        <v>1</v>
      </c>
      <c r="P179" s="64" t="s">
        <v>58</v>
      </c>
      <c r="Q179" s="64">
        <f t="shared" si="28"/>
        <v>4861770.1884610001</v>
      </c>
      <c r="R179" s="83">
        <f t="shared" si="23"/>
        <v>-7.2410277041422582</v>
      </c>
      <c r="S179" s="16" t="e">
        <f t="shared" si="24"/>
        <v>#VALUE!</v>
      </c>
      <c r="T179" s="17">
        <f t="shared" si="24"/>
        <v>-7.2410277041422582</v>
      </c>
      <c r="U179" s="2">
        <v>1405</v>
      </c>
    </row>
    <row r="180" spans="1:21" ht="47.25" x14ac:dyDescent="0.2">
      <c r="A180" s="63" t="s">
        <v>213</v>
      </c>
      <c r="B180" s="297" t="s">
        <v>26</v>
      </c>
      <c r="C180" s="298"/>
      <c r="D180" s="298"/>
      <c r="E180" s="298"/>
      <c r="F180" s="298"/>
      <c r="G180" s="298"/>
      <c r="H180" s="298"/>
      <c r="I180" s="299"/>
      <c r="J180" s="64">
        <v>990534.38083799998</v>
      </c>
      <c r="K180" s="64">
        <v>306714.01484399999</v>
      </c>
      <c r="L180" s="64">
        <v>54254.810235000004</v>
      </c>
      <c r="M180" s="64">
        <v>79706.339358000012</v>
      </c>
      <c r="N180" s="64">
        <f t="shared" si="29"/>
        <v>1431209.5452750002</v>
      </c>
      <c r="O180" s="64">
        <v>454</v>
      </c>
      <c r="P180" s="64" t="s">
        <v>38</v>
      </c>
      <c r="Q180" s="64">
        <f t="shared" si="28"/>
        <v>3152.4439323237889</v>
      </c>
      <c r="R180" s="83" t="e">
        <f t="shared" si="23"/>
        <v>#DIV/0!</v>
      </c>
      <c r="S180" s="16" t="e">
        <f t="shared" si="24"/>
        <v>#VALUE!</v>
      </c>
      <c r="T180" s="17" t="e">
        <f t="shared" si="24"/>
        <v>#DIV/0!</v>
      </c>
    </row>
    <row r="181" spans="1:21" ht="31.5" x14ac:dyDescent="0.2">
      <c r="A181" s="63" t="s">
        <v>214</v>
      </c>
      <c r="B181" s="297" t="s">
        <v>26</v>
      </c>
      <c r="C181" s="298"/>
      <c r="D181" s="298"/>
      <c r="E181" s="298"/>
      <c r="F181" s="298"/>
      <c r="G181" s="298"/>
      <c r="H181" s="298"/>
      <c r="I181" s="299"/>
      <c r="J181" s="64">
        <v>3458792.6785880001</v>
      </c>
      <c r="K181" s="64">
        <v>36398.235009999997</v>
      </c>
      <c r="L181" s="64">
        <v>176640.420518</v>
      </c>
      <c r="M181" s="64">
        <v>414629.15693200001</v>
      </c>
      <c r="N181" s="64">
        <f t="shared" si="29"/>
        <v>4086460.4910480003</v>
      </c>
      <c r="O181" s="64">
        <v>1</v>
      </c>
      <c r="P181" s="64" t="s">
        <v>19</v>
      </c>
      <c r="Q181" s="64">
        <f t="shared" si="28"/>
        <v>4086460.4910480003</v>
      </c>
      <c r="R181" s="83" t="e">
        <f t="shared" si="23"/>
        <v>#DIV/0!</v>
      </c>
      <c r="S181" s="16" t="e">
        <f t="shared" si="24"/>
        <v>#VALUE!</v>
      </c>
      <c r="T181" s="17" t="e">
        <f t="shared" si="24"/>
        <v>#DIV/0!</v>
      </c>
    </row>
    <row r="182" spans="1:21" ht="31.5" x14ac:dyDescent="0.2">
      <c r="A182" s="63" t="s">
        <v>215</v>
      </c>
      <c r="B182" s="297" t="s">
        <v>26</v>
      </c>
      <c r="C182" s="298"/>
      <c r="D182" s="298"/>
      <c r="E182" s="298"/>
      <c r="F182" s="298"/>
      <c r="G182" s="298"/>
      <c r="H182" s="298"/>
      <c r="I182" s="299"/>
      <c r="J182" s="64">
        <v>1596761.7353039999</v>
      </c>
      <c r="K182" s="64">
        <v>91413.412163999994</v>
      </c>
      <c r="L182" s="64">
        <v>122111.24296799999</v>
      </c>
      <c r="M182" s="64">
        <v>81576.098423999996</v>
      </c>
      <c r="N182" s="64">
        <f t="shared" si="29"/>
        <v>1891862.4888599999</v>
      </c>
      <c r="O182" s="64">
        <v>177</v>
      </c>
      <c r="P182" s="64" t="s">
        <v>38</v>
      </c>
      <c r="Q182" s="64">
        <f t="shared" si="28"/>
        <v>10688.488637627119</v>
      </c>
      <c r="R182" s="83" t="e">
        <f t="shared" si="23"/>
        <v>#DIV/0!</v>
      </c>
      <c r="S182" s="16" t="e">
        <f t="shared" si="24"/>
        <v>#VALUE!</v>
      </c>
      <c r="T182" s="17" t="e">
        <f t="shared" si="24"/>
        <v>#DIV/0!</v>
      </c>
    </row>
    <row r="183" spans="1:21" ht="31.5" x14ac:dyDescent="0.2">
      <c r="A183" s="63" t="s">
        <v>216</v>
      </c>
      <c r="B183" s="297" t="s">
        <v>26</v>
      </c>
      <c r="C183" s="298"/>
      <c r="D183" s="298"/>
      <c r="E183" s="298"/>
      <c r="F183" s="298"/>
      <c r="G183" s="298"/>
      <c r="H183" s="298"/>
      <c r="I183" s="299"/>
      <c r="J183" s="64">
        <v>341711.79441199999</v>
      </c>
      <c r="K183" s="64">
        <v>21163.368269999999</v>
      </c>
      <c r="L183" s="64">
        <v>25233.879463999998</v>
      </c>
      <c r="M183" s="64">
        <v>20009.986094</v>
      </c>
      <c r="N183" s="64">
        <f t="shared" si="29"/>
        <v>408119.02823999996</v>
      </c>
      <c r="O183" s="64">
        <v>8</v>
      </c>
      <c r="P183" s="64" t="s">
        <v>56</v>
      </c>
      <c r="Q183" s="64">
        <f t="shared" si="28"/>
        <v>51014.878529999994</v>
      </c>
      <c r="R183" s="83" t="e">
        <f t="shared" si="23"/>
        <v>#DIV/0!</v>
      </c>
      <c r="S183" s="16" t="e">
        <f t="shared" si="24"/>
        <v>#VALUE!</v>
      </c>
      <c r="T183" s="17" t="e">
        <f t="shared" si="24"/>
        <v>#DIV/0!</v>
      </c>
    </row>
    <row r="184" spans="1:21" x14ac:dyDescent="0.2">
      <c r="A184" s="63" t="s">
        <v>217</v>
      </c>
      <c r="B184" s="297" t="s">
        <v>26</v>
      </c>
      <c r="C184" s="298"/>
      <c r="D184" s="298"/>
      <c r="E184" s="298"/>
      <c r="F184" s="298"/>
      <c r="G184" s="298"/>
      <c r="H184" s="298"/>
      <c r="I184" s="299"/>
      <c r="J184" s="64">
        <v>1184106.0376199998</v>
      </c>
      <c r="K184" s="64">
        <v>811717.72308000003</v>
      </c>
      <c r="L184" s="64">
        <v>57068.467499999999</v>
      </c>
      <c r="M184" s="64">
        <v>36135.665939999999</v>
      </c>
      <c r="N184" s="64">
        <f t="shared" si="29"/>
        <v>2089027.89414</v>
      </c>
      <c r="O184" s="64">
        <v>1</v>
      </c>
      <c r="P184" s="64" t="s">
        <v>58</v>
      </c>
      <c r="Q184" s="64">
        <f t="shared" si="28"/>
        <v>2089027.89414</v>
      </c>
      <c r="R184" s="83" t="e">
        <f t="shared" si="23"/>
        <v>#DIV/0!</v>
      </c>
      <c r="S184" s="16" t="e">
        <f t="shared" si="24"/>
        <v>#VALUE!</v>
      </c>
      <c r="T184" s="17" t="e">
        <f t="shared" si="24"/>
        <v>#DIV/0!</v>
      </c>
    </row>
    <row r="185" spans="1:21" ht="31.5" x14ac:dyDescent="0.2">
      <c r="A185" s="63" t="s">
        <v>218</v>
      </c>
      <c r="B185" s="297" t="s">
        <v>26</v>
      </c>
      <c r="C185" s="298"/>
      <c r="D185" s="298"/>
      <c r="E185" s="298"/>
      <c r="F185" s="298"/>
      <c r="G185" s="298"/>
      <c r="H185" s="298"/>
      <c r="I185" s="299"/>
      <c r="J185" s="64">
        <v>162347.15826000003</v>
      </c>
      <c r="K185" s="64">
        <v>4924.7374300000001</v>
      </c>
      <c r="L185" s="64">
        <v>27379.725591000002</v>
      </c>
      <c r="M185" s="64">
        <v>6187.897551</v>
      </c>
      <c r="N185" s="64">
        <f t="shared" si="29"/>
        <v>200839.51883200003</v>
      </c>
      <c r="O185" s="64">
        <v>5</v>
      </c>
      <c r="P185" s="64" t="s">
        <v>73</v>
      </c>
      <c r="Q185" s="64">
        <f t="shared" si="28"/>
        <v>40167.903766400006</v>
      </c>
      <c r="R185" s="83" t="e">
        <f t="shared" si="23"/>
        <v>#DIV/0!</v>
      </c>
      <c r="S185" s="16" t="e">
        <f t="shared" si="24"/>
        <v>#VALUE!</v>
      </c>
      <c r="T185" s="17" t="e">
        <f t="shared" si="24"/>
        <v>#DIV/0!</v>
      </c>
    </row>
    <row r="186" spans="1:21" ht="47.25" x14ac:dyDescent="0.2">
      <c r="A186" s="63" t="s">
        <v>219</v>
      </c>
      <c r="B186" s="297" t="s">
        <v>26</v>
      </c>
      <c r="C186" s="298"/>
      <c r="D186" s="298"/>
      <c r="E186" s="298"/>
      <c r="F186" s="298"/>
      <c r="G186" s="298"/>
      <c r="H186" s="298"/>
      <c r="I186" s="299"/>
      <c r="J186" s="64">
        <v>19341242.188554998</v>
      </c>
      <c r="K186" s="64">
        <v>4224229.2800399996</v>
      </c>
      <c r="L186" s="64">
        <v>1207489.0715649999</v>
      </c>
      <c r="M186" s="64">
        <v>1572902.04204</v>
      </c>
      <c r="N186" s="64">
        <f t="shared" si="29"/>
        <v>26345862.582199998</v>
      </c>
      <c r="O186" s="64">
        <v>387</v>
      </c>
      <c r="P186" s="64" t="s">
        <v>38</v>
      </c>
      <c r="Q186" s="64">
        <f t="shared" si="28"/>
        <v>68077.164295090435</v>
      </c>
      <c r="R186" s="83" t="e">
        <f t="shared" si="23"/>
        <v>#DIV/0!</v>
      </c>
      <c r="S186" s="16" t="e">
        <f t="shared" si="24"/>
        <v>#VALUE!</v>
      </c>
      <c r="T186" s="17" t="e">
        <f t="shared" si="24"/>
        <v>#DIV/0!</v>
      </c>
    </row>
    <row r="187" spans="1:21" ht="31.5" x14ac:dyDescent="0.2">
      <c r="A187" s="63" t="s">
        <v>220</v>
      </c>
      <c r="B187" s="297" t="s">
        <v>26</v>
      </c>
      <c r="C187" s="298"/>
      <c r="D187" s="298"/>
      <c r="E187" s="298"/>
      <c r="F187" s="298"/>
      <c r="G187" s="298"/>
      <c r="H187" s="298"/>
      <c r="I187" s="299"/>
      <c r="J187" s="64">
        <v>460439.050078</v>
      </c>
      <c r="K187" s="64">
        <v>148317.68684799998</v>
      </c>
      <c r="L187" s="64">
        <v>37916.448879999996</v>
      </c>
      <c r="M187" s="64">
        <v>31130.088058000001</v>
      </c>
      <c r="N187" s="64">
        <f t="shared" si="29"/>
        <v>677803.27386399999</v>
      </c>
      <c r="O187" s="64">
        <v>1</v>
      </c>
      <c r="P187" s="64" t="s">
        <v>19</v>
      </c>
      <c r="Q187" s="64">
        <f t="shared" si="28"/>
        <v>677803.27386399999</v>
      </c>
      <c r="R187" s="83" t="e">
        <f t="shared" si="23"/>
        <v>#DIV/0!</v>
      </c>
      <c r="S187" s="16" t="e">
        <f t="shared" si="24"/>
        <v>#VALUE!</v>
      </c>
      <c r="T187" s="17" t="e">
        <f t="shared" si="24"/>
        <v>#DIV/0!</v>
      </c>
    </row>
    <row r="188" spans="1:21" ht="31.5" x14ac:dyDescent="0.2">
      <c r="A188" s="63" t="s">
        <v>221</v>
      </c>
      <c r="B188" s="297" t="s">
        <v>26</v>
      </c>
      <c r="C188" s="298"/>
      <c r="D188" s="298"/>
      <c r="E188" s="298"/>
      <c r="F188" s="298"/>
      <c r="G188" s="298"/>
      <c r="H188" s="298"/>
      <c r="I188" s="299"/>
      <c r="J188" s="64">
        <v>3103201.692386</v>
      </c>
      <c r="K188" s="64">
        <v>2102162.7534209997</v>
      </c>
      <c r="L188" s="64">
        <v>180490.15184299997</v>
      </c>
      <c r="M188" s="64">
        <v>155555.93019300001</v>
      </c>
      <c r="N188" s="64">
        <f t="shared" si="29"/>
        <v>5541410.5278430004</v>
      </c>
      <c r="O188" s="64">
        <v>327</v>
      </c>
      <c r="P188" s="64" t="s">
        <v>38</v>
      </c>
      <c r="Q188" s="64">
        <f t="shared" si="28"/>
        <v>16946.209565269113</v>
      </c>
      <c r="R188" s="83" t="e">
        <f t="shared" si="23"/>
        <v>#DIV/0!</v>
      </c>
      <c r="S188" s="16" t="e">
        <f t="shared" si="24"/>
        <v>#VALUE!</v>
      </c>
      <c r="T188" s="17" t="e">
        <f t="shared" si="24"/>
        <v>#DIV/0!</v>
      </c>
    </row>
    <row r="189" spans="1:21" ht="31.5" x14ac:dyDescent="0.2">
      <c r="A189" s="63" t="s">
        <v>222</v>
      </c>
      <c r="B189" s="297" t="s">
        <v>26</v>
      </c>
      <c r="C189" s="298"/>
      <c r="D189" s="298"/>
      <c r="E189" s="298"/>
      <c r="F189" s="298"/>
      <c r="G189" s="298"/>
      <c r="H189" s="298"/>
      <c r="I189" s="299"/>
      <c r="J189" s="64">
        <v>3056118.0824200003</v>
      </c>
      <c r="K189" s="64">
        <v>394226.15561999992</v>
      </c>
      <c r="L189" s="64">
        <v>253389.21543400001</v>
      </c>
      <c r="M189" s="64">
        <v>288554.82609799999</v>
      </c>
      <c r="N189" s="64">
        <f t="shared" si="29"/>
        <v>3992288.2795720003</v>
      </c>
      <c r="O189" s="64">
        <v>5</v>
      </c>
      <c r="P189" s="64" t="s">
        <v>56</v>
      </c>
      <c r="Q189" s="64">
        <f t="shared" si="28"/>
        <v>798457.65591440001</v>
      </c>
      <c r="R189" s="83" t="e">
        <f t="shared" si="23"/>
        <v>#DIV/0!</v>
      </c>
      <c r="S189" s="16" t="e">
        <f t="shared" si="24"/>
        <v>#VALUE!</v>
      </c>
      <c r="T189" s="17" t="e">
        <f t="shared" si="24"/>
        <v>#DIV/0!</v>
      </c>
    </row>
    <row r="190" spans="1:21" x14ac:dyDescent="0.2">
      <c r="A190" s="63" t="s">
        <v>223</v>
      </c>
      <c r="B190" s="297" t="s">
        <v>26</v>
      </c>
      <c r="C190" s="298"/>
      <c r="D190" s="298"/>
      <c r="E190" s="298"/>
      <c r="F190" s="298"/>
      <c r="G190" s="298"/>
      <c r="H190" s="298"/>
      <c r="I190" s="299"/>
      <c r="J190" s="64">
        <v>1524978.335645</v>
      </c>
      <c r="K190" s="64">
        <v>135020.593632</v>
      </c>
      <c r="L190" s="64">
        <v>120541.044347</v>
      </c>
      <c r="M190" s="64">
        <v>113287.51845</v>
      </c>
      <c r="N190" s="64">
        <f t="shared" si="29"/>
        <v>1893827.4920740002</v>
      </c>
      <c r="O190" s="64">
        <v>1</v>
      </c>
      <c r="P190" s="64" t="s">
        <v>58</v>
      </c>
      <c r="Q190" s="64">
        <f t="shared" si="28"/>
        <v>1893827.4920740002</v>
      </c>
      <c r="R190" s="83" t="e">
        <f t="shared" si="23"/>
        <v>#DIV/0!</v>
      </c>
      <c r="S190" s="16" t="e">
        <f t="shared" si="24"/>
        <v>#VALUE!</v>
      </c>
      <c r="T190" s="17" t="e">
        <f t="shared" si="24"/>
        <v>#DIV/0!</v>
      </c>
    </row>
    <row r="191" spans="1:21" ht="47.25" x14ac:dyDescent="0.2">
      <c r="A191" s="63" t="s">
        <v>224</v>
      </c>
      <c r="B191" s="297" t="s">
        <v>26</v>
      </c>
      <c r="C191" s="298"/>
      <c r="D191" s="298"/>
      <c r="E191" s="298"/>
      <c r="F191" s="298"/>
      <c r="G191" s="298"/>
      <c r="H191" s="298"/>
      <c r="I191" s="299"/>
      <c r="J191" s="64">
        <v>1505105.8230389999</v>
      </c>
      <c r="K191" s="64">
        <v>300072.91213900002</v>
      </c>
      <c r="L191" s="64">
        <v>83733.855205</v>
      </c>
      <c r="M191" s="64">
        <v>93063.244728999998</v>
      </c>
      <c r="N191" s="64">
        <f t="shared" si="29"/>
        <v>1981975.8351119997</v>
      </c>
      <c r="O191" s="64">
        <v>148</v>
      </c>
      <c r="P191" s="64" t="s">
        <v>38</v>
      </c>
      <c r="Q191" s="64">
        <f t="shared" si="28"/>
        <v>13391.72861562162</v>
      </c>
      <c r="R191" s="83" t="e">
        <f t="shared" si="23"/>
        <v>#DIV/0!</v>
      </c>
      <c r="S191" s="16" t="e">
        <f t="shared" si="24"/>
        <v>#VALUE!</v>
      </c>
      <c r="T191" s="17" t="e">
        <f t="shared" si="24"/>
        <v>#DIV/0!</v>
      </c>
    </row>
    <row r="192" spans="1:21" ht="31.5" x14ac:dyDescent="0.2">
      <c r="A192" s="63" t="s">
        <v>225</v>
      </c>
      <c r="B192" s="297" t="s">
        <v>26</v>
      </c>
      <c r="C192" s="298"/>
      <c r="D192" s="298"/>
      <c r="E192" s="298"/>
      <c r="F192" s="298"/>
      <c r="G192" s="298"/>
      <c r="H192" s="298"/>
      <c r="I192" s="299"/>
      <c r="J192" s="64">
        <v>1110858.0469210001</v>
      </c>
      <c r="K192" s="64">
        <v>26404.877068000002</v>
      </c>
      <c r="L192" s="64">
        <v>82762.794292999984</v>
      </c>
      <c r="M192" s="64">
        <v>64067.224406000001</v>
      </c>
      <c r="N192" s="64">
        <f t="shared" si="29"/>
        <v>1284092.9426879999</v>
      </c>
      <c r="O192" s="64">
        <v>1</v>
      </c>
      <c r="P192" s="64" t="s">
        <v>19</v>
      </c>
      <c r="Q192" s="64">
        <f t="shared" si="28"/>
        <v>1284092.9426879999</v>
      </c>
      <c r="R192" s="83" t="e">
        <f t="shared" si="23"/>
        <v>#DIV/0!</v>
      </c>
      <c r="S192" s="16" t="e">
        <f t="shared" si="24"/>
        <v>#VALUE!</v>
      </c>
      <c r="T192" s="17" t="e">
        <f t="shared" si="24"/>
        <v>#DIV/0!</v>
      </c>
    </row>
    <row r="193" spans="1:21" ht="31.5" x14ac:dyDescent="0.2">
      <c r="A193" s="63" t="s">
        <v>226</v>
      </c>
      <c r="B193" s="297" t="s">
        <v>26</v>
      </c>
      <c r="C193" s="298"/>
      <c r="D193" s="298"/>
      <c r="E193" s="298"/>
      <c r="F193" s="298"/>
      <c r="G193" s="298"/>
      <c r="H193" s="298"/>
      <c r="I193" s="299"/>
      <c r="J193" s="64">
        <v>1150247.0529760001</v>
      </c>
      <c r="K193" s="64">
        <v>165827.18832000002</v>
      </c>
      <c r="L193" s="64">
        <v>77189.463183999993</v>
      </c>
      <c r="M193" s="64">
        <v>77155.780383999998</v>
      </c>
      <c r="N193" s="64">
        <f t="shared" si="29"/>
        <v>1470419.484864</v>
      </c>
      <c r="O193" s="64">
        <v>145</v>
      </c>
      <c r="P193" s="64" t="s">
        <v>38</v>
      </c>
      <c r="Q193" s="64">
        <f t="shared" si="28"/>
        <v>10140.824033544828</v>
      </c>
      <c r="R193" s="83" t="e">
        <f t="shared" si="23"/>
        <v>#DIV/0!</v>
      </c>
      <c r="S193" s="16" t="e">
        <f t="shared" si="24"/>
        <v>#VALUE!</v>
      </c>
      <c r="T193" s="17" t="e">
        <f t="shared" si="24"/>
        <v>#DIV/0!</v>
      </c>
    </row>
    <row r="194" spans="1:21" ht="31.5" x14ac:dyDescent="0.2">
      <c r="A194" s="63" t="s">
        <v>227</v>
      </c>
      <c r="B194" s="297" t="s">
        <v>26</v>
      </c>
      <c r="C194" s="298"/>
      <c r="D194" s="298"/>
      <c r="E194" s="298"/>
      <c r="F194" s="298"/>
      <c r="G194" s="298"/>
      <c r="H194" s="298"/>
      <c r="I194" s="299"/>
      <c r="J194" s="64">
        <v>1666211.5501260001</v>
      </c>
      <c r="K194" s="64">
        <v>164629.74113100002</v>
      </c>
      <c r="L194" s="64">
        <v>126430.61038800002</v>
      </c>
      <c r="M194" s="64">
        <v>143161.72308299999</v>
      </c>
      <c r="N194" s="64">
        <f t="shared" si="29"/>
        <v>2100433.6247280003</v>
      </c>
      <c r="O194" s="64">
        <v>3</v>
      </c>
      <c r="P194" s="64" t="s">
        <v>56</v>
      </c>
      <c r="Q194" s="64">
        <f t="shared" si="28"/>
        <v>700144.54157600005</v>
      </c>
      <c r="R194" s="83" t="e">
        <f t="shared" si="23"/>
        <v>#DIV/0!</v>
      </c>
      <c r="S194" s="16" t="e">
        <f t="shared" si="24"/>
        <v>#VALUE!</v>
      </c>
      <c r="T194" s="17" t="e">
        <f t="shared" si="24"/>
        <v>#DIV/0!</v>
      </c>
    </row>
    <row r="195" spans="1:21" x14ac:dyDescent="0.2">
      <c r="A195" s="63" t="s">
        <v>228</v>
      </c>
      <c r="B195" s="297" t="s">
        <v>26</v>
      </c>
      <c r="C195" s="298"/>
      <c r="D195" s="298"/>
      <c r="E195" s="298"/>
      <c r="F195" s="298"/>
      <c r="G195" s="298"/>
      <c r="H195" s="298"/>
      <c r="I195" s="299"/>
      <c r="J195" s="64">
        <v>1021197.4218480001</v>
      </c>
      <c r="K195" s="64">
        <v>729458.89877999993</v>
      </c>
      <c r="L195" s="64">
        <v>73170.449259999994</v>
      </c>
      <c r="M195" s="64">
        <v>44510.817612000006</v>
      </c>
      <c r="N195" s="64">
        <f t="shared" si="29"/>
        <v>1868337.5874999999</v>
      </c>
      <c r="O195" s="64">
        <v>1</v>
      </c>
      <c r="P195" s="64" t="s">
        <v>58</v>
      </c>
      <c r="Q195" s="64">
        <f t="shared" si="28"/>
        <v>1868337.5874999999</v>
      </c>
      <c r="R195" s="83" t="e">
        <f t="shared" si="23"/>
        <v>#DIV/0!</v>
      </c>
      <c r="S195" s="16" t="e">
        <f t="shared" si="24"/>
        <v>#VALUE!</v>
      </c>
      <c r="T195" s="17" t="e">
        <f t="shared" si="24"/>
        <v>#DIV/0!</v>
      </c>
    </row>
    <row r="196" spans="1:21" ht="31.5" x14ac:dyDescent="0.2">
      <c r="A196" s="63" t="s">
        <v>229</v>
      </c>
      <c r="B196" s="297" t="s">
        <v>26</v>
      </c>
      <c r="C196" s="298"/>
      <c r="D196" s="298"/>
      <c r="E196" s="298"/>
      <c r="F196" s="298"/>
      <c r="G196" s="298"/>
      <c r="H196" s="298"/>
      <c r="I196" s="299"/>
      <c r="J196" s="64">
        <v>2686480.2215800001</v>
      </c>
      <c r="K196" s="64">
        <v>337224.31232000003</v>
      </c>
      <c r="L196" s="64">
        <v>209031.054944</v>
      </c>
      <c r="M196" s="64">
        <v>248100.390376</v>
      </c>
      <c r="N196" s="64">
        <f t="shared" si="29"/>
        <v>3480835.9792200006</v>
      </c>
      <c r="O196" s="64">
        <v>3</v>
      </c>
      <c r="P196" s="64" t="s">
        <v>73</v>
      </c>
      <c r="Q196" s="64">
        <f t="shared" si="28"/>
        <v>1160278.6597400003</v>
      </c>
      <c r="R196" s="83" t="e">
        <f t="shared" si="23"/>
        <v>#DIV/0!</v>
      </c>
      <c r="S196" s="16" t="e">
        <f t="shared" si="24"/>
        <v>#VALUE!</v>
      </c>
      <c r="T196" s="17" t="e">
        <f t="shared" si="24"/>
        <v>#DIV/0!</v>
      </c>
    </row>
    <row r="197" spans="1:21" ht="31.5" x14ac:dyDescent="0.2">
      <c r="A197" s="63" t="s">
        <v>230</v>
      </c>
      <c r="B197" s="65">
        <v>2785665.4635820002</v>
      </c>
      <c r="C197" s="65">
        <v>463305.79289899999</v>
      </c>
      <c r="D197" s="65">
        <v>207439.82085420002</v>
      </c>
      <c r="E197" s="65">
        <v>457134.6815282001</v>
      </c>
      <c r="F197" s="66">
        <f t="shared" si="18"/>
        <v>3913545.7588634002</v>
      </c>
      <c r="G197" s="72">
        <v>22</v>
      </c>
      <c r="H197" s="68" t="s">
        <v>38</v>
      </c>
      <c r="I197" s="64">
        <f>+F197/G197</f>
        <v>177888.4435847</v>
      </c>
      <c r="J197" s="294" t="s">
        <v>27</v>
      </c>
      <c r="K197" s="295"/>
      <c r="L197" s="295"/>
      <c r="M197" s="295"/>
      <c r="N197" s="295"/>
      <c r="O197" s="295"/>
      <c r="P197" s="295"/>
      <c r="Q197" s="296"/>
      <c r="R197" s="83">
        <f t="shared" si="23"/>
        <v>-100</v>
      </c>
      <c r="S197" s="16" t="e">
        <f t="shared" si="24"/>
        <v>#VALUE!</v>
      </c>
      <c r="T197" s="17">
        <f t="shared" si="24"/>
        <v>-100</v>
      </c>
      <c r="U197" s="2">
        <v>1501</v>
      </c>
    </row>
    <row r="198" spans="1:21" ht="31.5" x14ac:dyDescent="0.2">
      <c r="A198" s="63" t="s">
        <v>231</v>
      </c>
      <c r="B198" s="297" t="s">
        <v>26</v>
      </c>
      <c r="C198" s="298"/>
      <c r="D198" s="298"/>
      <c r="E198" s="298"/>
      <c r="F198" s="298"/>
      <c r="G198" s="298"/>
      <c r="H198" s="298"/>
      <c r="I198" s="299"/>
      <c r="J198" s="64">
        <v>2497399.3794719996</v>
      </c>
      <c r="K198" s="64">
        <v>463577.20957100001</v>
      </c>
      <c r="L198" s="64">
        <v>185637.63757300004</v>
      </c>
      <c r="M198" s="64">
        <v>470042.930009</v>
      </c>
      <c r="N198" s="64">
        <f>SUM(J198:M198)</f>
        <v>3616657.1566249998</v>
      </c>
      <c r="O198" s="64">
        <v>15</v>
      </c>
      <c r="P198" s="64" t="s">
        <v>38</v>
      </c>
      <c r="Q198" s="64">
        <f>N198/O198</f>
        <v>241110.47710833332</v>
      </c>
      <c r="R198" s="83" t="e">
        <f t="shared" si="23"/>
        <v>#DIV/0!</v>
      </c>
      <c r="S198" s="16" t="e">
        <f t="shared" si="24"/>
        <v>#VALUE!</v>
      </c>
      <c r="T198" s="17" t="e">
        <f t="shared" si="24"/>
        <v>#DIV/0!</v>
      </c>
    </row>
    <row r="199" spans="1:21" ht="31.5" x14ac:dyDescent="0.2">
      <c r="A199" s="63" t="s">
        <v>232</v>
      </c>
      <c r="B199" s="65">
        <v>2724382.6118710004</v>
      </c>
      <c r="C199" s="65">
        <v>508495.13589999994</v>
      </c>
      <c r="D199" s="65">
        <v>229169.33512910001</v>
      </c>
      <c r="E199" s="65">
        <v>529175.51329499995</v>
      </c>
      <c r="F199" s="66">
        <f t="shared" si="18"/>
        <v>3991222.5961951003</v>
      </c>
      <c r="G199" s="72">
        <v>1</v>
      </c>
      <c r="H199" s="68" t="s">
        <v>19</v>
      </c>
      <c r="I199" s="64">
        <f>+F199/G199</f>
        <v>3991222.5961951003</v>
      </c>
      <c r="J199" s="294" t="s">
        <v>27</v>
      </c>
      <c r="K199" s="295"/>
      <c r="L199" s="295"/>
      <c r="M199" s="295"/>
      <c r="N199" s="295"/>
      <c r="O199" s="295"/>
      <c r="P199" s="295"/>
      <c r="Q199" s="296"/>
      <c r="R199" s="83">
        <f t="shared" ref="R199:R252" si="30">(N199-F199)/F199*100</f>
        <v>-100</v>
      </c>
      <c r="S199" s="16" t="e">
        <f t="shared" ref="S199:T252" si="31">(P199-H199)/H199*100</f>
        <v>#VALUE!</v>
      </c>
      <c r="T199" s="17">
        <f t="shared" si="31"/>
        <v>-100</v>
      </c>
      <c r="U199" s="2">
        <v>1502</v>
      </c>
    </row>
    <row r="200" spans="1:21" ht="31.5" x14ac:dyDescent="0.2">
      <c r="A200" s="63" t="s">
        <v>233</v>
      </c>
      <c r="B200" s="65">
        <v>3572700.7356179995</v>
      </c>
      <c r="C200" s="65">
        <v>644117.03668000002</v>
      </c>
      <c r="D200" s="65">
        <v>298752.42504260002</v>
      </c>
      <c r="E200" s="65">
        <v>697243.47424199991</v>
      </c>
      <c r="F200" s="66">
        <f t="shared" si="18"/>
        <v>5212813.6715826001</v>
      </c>
      <c r="G200" s="72">
        <v>13</v>
      </c>
      <c r="H200" s="68" t="s">
        <v>38</v>
      </c>
      <c r="I200" s="64">
        <f>+F200/G200</f>
        <v>400985.66704481537</v>
      </c>
      <c r="J200" s="294" t="s">
        <v>27</v>
      </c>
      <c r="K200" s="295"/>
      <c r="L200" s="295"/>
      <c r="M200" s="295"/>
      <c r="N200" s="295"/>
      <c r="O200" s="295"/>
      <c r="P200" s="295"/>
      <c r="Q200" s="296"/>
      <c r="R200" s="83">
        <f t="shared" si="30"/>
        <v>-100</v>
      </c>
      <c r="S200" s="16" t="e">
        <f t="shared" si="31"/>
        <v>#VALUE!</v>
      </c>
      <c r="T200" s="17">
        <f t="shared" si="31"/>
        <v>-100</v>
      </c>
      <c r="U200" s="2">
        <v>1503</v>
      </c>
    </row>
    <row r="201" spans="1:21" ht="31.5" x14ac:dyDescent="0.2">
      <c r="A201" s="63" t="s">
        <v>234</v>
      </c>
      <c r="B201" s="65">
        <v>3422331.9894050001</v>
      </c>
      <c r="C201" s="65">
        <v>633498.75063299993</v>
      </c>
      <c r="D201" s="65">
        <v>285169.72791710001</v>
      </c>
      <c r="E201" s="65">
        <v>682086.12945600005</v>
      </c>
      <c r="F201" s="66">
        <f>SUM(B201:E201)</f>
        <v>5023086.5974111008</v>
      </c>
      <c r="G201" s="72">
        <v>5</v>
      </c>
      <c r="H201" s="68" t="s">
        <v>56</v>
      </c>
      <c r="I201" s="64">
        <f>+F201/G201</f>
        <v>1004617.3194822201</v>
      </c>
      <c r="J201" s="294" t="s">
        <v>27</v>
      </c>
      <c r="K201" s="295"/>
      <c r="L201" s="295"/>
      <c r="M201" s="295"/>
      <c r="N201" s="295"/>
      <c r="O201" s="295"/>
      <c r="P201" s="295"/>
      <c r="Q201" s="296"/>
      <c r="R201" s="83">
        <f t="shared" si="30"/>
        <v>-100</v>
      </c>
      <c r="S201" s="16" t="e">
        <f t="shared" si="31"/>
        <v>#VALUE!</v>
      </c>
      <c r="T201" s="17">
        <f t="shared" si="31"/>
        <v>-100</v>
      </c>
      <c r="U201" s="2">
        <v>1504</v>
      </c>
    </row>
    <row r="202" spans="1:21" x14ac:dyDescent="0.2">
      <c r="A202" s="63" t="s">
        <v>235</v>
      </c>
      <c r="B202" s="65">
        <v>203546.80494400003</v>
      </c>
      <c r="C202" s="65">
        <v>74095.745471999995</v>
      </c>
      <c r="D202" s="65">
        <v>24929.805935999997</v>
      </c>
      <c r="E202" s="65">
        <v>2336.7701840000004</v>
      </c>
      <c r="F202" s="66">
        <f>SUM(B202:E202)</f>
        <v>304909.12653600005</v>
      </c>
      <c r="G202" s="72">
        <v>1</v>
      </c>
      <c r="H202" s="68" t="s">
        <v>58</v>
      </c>
      <c r="I202" s="64">
        <f>+F202/G202</f>
        <v>304909.12653600005</v>
      </c>
      <c r="J202" s="294" t="s">
        <v>27</v>
      </c>
      <c r="K202" s="295"/>
      <c r="L202" s="295"/>
      <c r="M202" s="295"/>
      <c r="N202" s="295"/>
      <c r="O202" s="295"/>
      <c r="P202" s="295"/>
      <c r="Q202" s="296"/>
      <c r="R202" s="83">
        <f t="shared" si="30"/>
        <v>-100</v>
      </c>
      <c r="S202" s="16" t="e">
        <f t="shared" si="31"/>
        <v>#VALUE!</v>
      </c>
      <c r="T202" s="17">
        <f t="shared" si="31"/>
        <v>-100</v>
      </c>
      <c r="U202" s="2">
        <v>1505</v>
      </c>
    </row>
    <row r="203" spans="1:21" ht="31.5" x14ac:dyDescent="0.2">
      <c r="A203" s="63" t="s">
        <v>236</v>
      </c>
      <c r="B203" s="297" t="s">
        <v>26</v>
      </c>
      <c r="C203" s="298"/>
      <c r="D203" s="298"/>
      <c r="E203" s="298"/>
      <c r="F203" s="298"/>
      <c r="G203" s="298"/>
      <c r="H203" s="298"/>
      <c r="I203" s="299"/>
      <c r="J203" s="64">
        <v>5325020.6824660003</v>
      </c>
      <c r="K203" s="64">
        <v>1139448.8259000001</v>
      </c>
      <c r="L203" s="64">
        <v>359302.05587000004</v>
      </c>
      <c r="M203" s="64">
        <v>1273768.6612809999</v>
      </c>
      <c r="N203" s="64">
        <f>SUM(J203:M203)</f>
        <v>8097540.2255170001</v>
      </c>
      <c r="O203" s="64">
        <v>20</v>
      </c>
      <c r="P203" s="64" t="s">
        <v>58</v>
      </c>
      <c r="Q203" s="64">
        <f t="shared" ref="Q203:Q241" si="32">N203/O203</f>
        <v>404877.01127585</v>
      </c>
      <c r="R203" s="83" t="e">
        <f t="shared" si="30"/>
        <v>#DIV/0!</v>
      </c>
      <c r="S203" s="16" t="e">
        <f t="shared" si="31"/>
        <v>#VALUE!</v>
      </c>
      <c r="T203" s="17" t="e">
        <f t="shared" si="31"/>
        <v>#DIV/0!</v>
      </c>
    </row>
    <row r="204" spans="1:21" ht="31.5" x14ac:dyDescent="0.2">
      <c r="A204" s="63" t="s">
        <v>237</v>
      </c>
      <c r="B204" s="65">
        <v>203546.80494400003</v>
      </c>
      <c r="C204" s="65">
        <v>74095.745471999995</v>
      </c>
      <c r="D204" s="65">
        <v>24929.805935999997</v>
      </c>
      <c r="E204" s="65">
        <v>2336.7701840000004</v>
      </c>
      <c r="F204" s="66">
        <f>SUM(B204:E204)</f>
        <v>304909.12653600005</v>
      </c>
      <c r="G204" s="72">
        <v>1</v>
      </c>
      <c r="H204" s="68" t="s">
        <v>58</v>
      </c>
      <c r="I204" s="64">
        <f>+F204/G204</f>
        <v>304909.12653600005</v>
      </c>
      <c r="J204" s="64">
        <v>253731.041</v>
      </c>
      <c r="K204" s="64">
        <v>73295.81</v>
      </c>
      <c r="L204" s="64">
        <v>30482.7</v>
      </c>
      <c r="M204" s="64">
        <v>2336.77</v>
      </c>
      <c r="N204" s="64">
        <f>SUM(J204:M204)</f>
        <v>359846.32100000005</v>
      </c>
      <c r="O204" s="64">
        <v>1</v>
      </c>
      <c r="P204" s="64" t="s">
        <v>58</v>
      </c>
      <c r="Q204" s="64">
        <f t="shared" si="32"/>
        <v>359846.32100000005</v>
      </c>
      <c r="R204" s="83">
        <f t="shared" si="30"/>
        <v>18.017563163204848</v>
      </c>
      <c r="S204" s="16" t="e">
        <f t="shared" si="31"/>
        <v>#VALUE!</v>
      </c>
      <c r="T204" s="17">
        <f t="shared" si="31"/>
        <v>18.017563163204848</v>
      </c>
      <c r="U204" s="2">
        <v>1505</v>
      </c>
    </row>
    <row r="205" spans="1:21" ht="31.5" x14ac:dyDescent="0.2">
      <c r="A205" s="63" t="s">
        <v>238</v>
      </c>
      <c r="B205" s="65">
        <v>203546.80494400003</v>
      </c>
      <c r="C205" s="65">
        <v>74095.745471999995</v>
      </c>
      <c r="D205" s="65">
        <v>24929.805935999997</v>
      </c>
      <c r="E205" s="65">
        <v>2336.7701840000004</v>
      </c>
      <c r="F205" s="66">
        <f>SUM(B205:E205)</f>
        <v>304909.12653600005</v>
      </c>
      <c r="G205" s="72">
        <v>1</v>
      </c>
      <c r="H205" s="68" t="s">
        <v>58</v>
      </c>
      <c r="I205" s="64">
        <f>+F205/G205</f>
        <v>304909.12653600005</v>
      </c>
      <c r="J205" s="294" t="s">
        <v>27</v>
      </c>
      <c r="K205" s="295"/>
      <c r="L205" s="295"/>
      <c r="M205" s="295"/>
      <c r="N205" s="295"/>
      <c r="O205" s="295"/>
      <c r="P205" s="295"/>
      <c r="Q205" s="296"/>
      <c r="R205" s="83">
        <f t="shared" si="30"/>
        <v>-100</v>
      </c>
      <c r="S205" s="16" t="e">
        <f t="shared" si="31"/>
        <v>#VALUE!</v>
      </c>
      <c r="T205" s="17">
        <f t="shared" si="31"/>
        <v>-100</v>
      </c>
      <c r="U205" s="2">
        <v>1505</v>
      </c>
    </row>
    <row r="206" spans="1:21" ht="31.5" x14ac:dyDescent="0.2">
      <c r="A206" s="63" t="s">
        <v>239</v>
      </c>
      <c r="B206" s="297" t="s">
        <v>26</v>
      </c>
      <c r="C206" s="298"/>
      <c r="D206" s="298"/>
      <c r="E206" s="298"/>
      <c r="F206" s="298"/>
      <c r="G206" s="298"/>
      <c r="H206" s="298"/>
      <c r="I206" s="299"/>
      <c r="J206" s="64">
        <v>3400717.6941880002</v>
      </c>
      <c r="K206" s="64">
        <v>1060825.5884580002</v>
      </c>
      <c r="L206" s="64">
        <v>183653.45664799999</v>
      </c>
      <c r="M206" s="64">
        <v>88171.502778000009</v>
      </c>
      <c r="N206" s="64">
        <f>SUM(J206:M206)</f>
        <v>4733368.2420720002</v>
      </c>
      <c r="O206" s="64">
        <v>1</v>
      </c>
      <c r="P206" s="64" t="s">
        <v>58</v>
      </c>
      <c r="Q206" s="64">
        <f t="shared" si="32"/>
        <v>4733368.2420720002</v>
      </c>
      <c r="R206" s="83" t="e">
        <f t="shared" si="30"/>
        <v>#DIV/0!</v>
      </c>
      <c r="S206" s="16" t="e">
        <f t="shared" si="31"/>
        <v>#VALUE!</v>
      </c>
      <c r="T206" s="17" t="e">
        <f t="shared" si="31"/>
        <v>#DIV/0!</v>
      </c>
    </row>
    <row r="207" spans="1:21" ht="31.5" x14ac:dyDescent="0.2">
      <c r="A207" s="63" t="s">
        <v>240</v>
      </c>
      <c r="B207" s="297" t="s">
        <v>26</v>
      </c>
      <c r="C207" s="298"/>
      <c r="D207" s="298"/>
      <c r="E207" s="298"/>
      <c r="F207" s="298"/>
      <c r="G207" s="298"/>
      <c r="H207" s="298"/>
      <c r="I207" s="299"/>
      <c r="J207" s="64">
        <v>8436184.6831240002</v>
      </c>
      <c r="K207" s="64">
        <v>11687972.143393999</v>
      </c>
      <c r="L207" s="64">
        <v>478156.58184300008</v>
      </c>
      <c r="M207" s="64">
        <v>262050.07731299999</v>
      </c>
      <c r="N207" s="64">
        <f t="shared" ref="N207:N218" si="33">SUM(J207:M207)</f>
        <v>20864363.485673998</v>
      </c>
      <c r="O207" s="64">
        <v>1</v>
      </c>
      <c r="P207" s="64" t="s">
        <v>19</v>
      </c>
      <c r="Q207" s="64">
        <f t="shared" si="32"/>
        <v>20864363.485673998</v>
      </c>
      <c r="R207" s="83" t="e">
        <f t="shared" si="30"/>
        <v>#DIV/0!</v>
      </c>
      <c r="S207" s="16" t="e">
        <f t="shared" si="31"/>
        <v>#VALUE!</v>
      </c>
      <c r="T207" s="17" t="e">
        <f t="shared" si="31"/>
        <v>#DIV/0!</v>
      </c>
    </row>
    <row r="208" spans="1:21" ht="31.5" x14ac:dyDescent="0.2">
      <c r="A208" s="63" t="s">
        <v>241</v>
      </c>
      <c r="B208" s="65">
        <v>203546.80494400003</v>
      </c>
      <c r="C208" s="65">
        <v>74095.745471999995</v>
      </c>
      <c r="D208" s="65">
        <v>24929.805935999997</v>
      </c>
      <c r="E208" s="65">
        <v>2336.7701840000004</v>
      </c>
      <c r="F208" s="66">
        <f>SUM(B208:E208)</f>
        <v>304909.12653600005</v>
      </c>
      <c r="G208" s="72">
        <v>1</v>
      </c>
      <c r="H208" s="68" t="s">
        <v>58</v>
      </c>
      <c r="I208" s="64">
        <f>+F208/G208</f>
        <v>304909.12653600005</v>
      </c>
      <c r="J208" s="64">
        <v>260744.58705300093</v>
      </c>
      <c r="K208" s="64">
        <v>514496.03435099998</v>
      </c>
      <c r="L208" s="64">
        <v>589229.04767400003</v>
      </c>
      <c r="M208" s="64">
        <v>223631.330132</v>
      </c>
      <c r="N208" s="64">
        <f t="shared" si="33"/>
        <v>1588100.9992100007</v>
      </c>
      <c r="O208" s="64">
        <v>10</v>
      </c>
      <c r="P208" s="68" t="s">
        <v>58</v>
      </c>
      <c r="Q208" s="64">
        <f t="shared" si="32"/>
        <v>158810.09992100007</v>
      </c>
      <c r="R208" s="83">
        <f t="shared" si="30"/>
        <v>420.84403548428935</v>
      </c>
      <c r="S208" s="16" t="e">
        <f t="shared" si="31"/>
        <v>#VALUE!</v>
      </c>
      <c r="T208" s="17">
        <f t="shared" si="31"/>
        <v>-47.915596451571069</v>
      </c>
      <c r="U208" s="2">
        <v>1505</v>
      </c>
    </row>
    <row r="209" spans="1:21" ht="31.5" x14ac:dyDescent="0.2">
      <c r="A209" s="63" t="s">
        <v>242</v>
      </c>
      <c r="B209" s="65">
        <v>203546.80494400003</v>
      </c>
      <c r="C209" s="65">
        <v>74095.745471999995</v>
      </c>
      <c r="D209" s="65">
        <v>24929.805935999997</v>
      </c>
      <c r="E209" s="65">
        <v>2336.7701840000004</v>
      </c>
      <c r="F209" s="66">
        <f>SUM(B209:E209)</f>
        <v>304909.12653600005</v>
      </c>
      <c r="G209" s="72">
        <v>1</v>
      </c>
      <c r="H209" s="68" t="s">
        <v>58</v>
      </c>
      <c r="I209" s="64">
        <f>+F209/G209</f>
        <v>304909.12653600005</v>
      </c>
      <c r="J209" s="64">
        <v>232019.7512206994</v>
      </c>
      <c r="K209" s="64">
        <v>5057.0944748073816</v>
      </c>
      <c r="L209" s="64">
        <v>21071.704237159807</v>
      </c>
      <c r="M209" s="64">
        <v>63456.232653021987</v>
      </c>
      <c r="N209" s="64">
        <f t="shared" si="33"/>
        <v>321604.78258568858</v>
      </c>
      <c r="O209" s="64">
        <v>1</v>
      </c>
      <c r="P209" s="68" t="s">
        <v>58</v>
      </c>
      <c r="Q209" s="64">
        <f t="shared" si="32"/>
        <v>321604.78258568858</v>
      </c>
      <c r="R209" s="83">
        <f t="shared" si="30"/>
        <v>5.4756170270676678</v>
      </c>
      <c r="S209" s="16" t="e">
        <f t="shared" si="31"/>
        <v>#VALUE!</v>
      </c>
      <c r="T209" s="17">
        <f t="shared" si="31"/>
        <v>5.4756170270676678</v>
      </c>
      <c r="U209" s="2">
        <v>1505</v>
      </c>
    </row>
    <row r="210" spans="1:21" x14ac:dyDescent="0.2">
      <c r="A210" s="63" t="s">
        <v>243</v>
      </c>
      <c r="B210" s="297" t="s">
        <v>26</v>
      </c>
      <c r="C210" s="298"/>
      <c r="D210" s="298"/>
      <c r="E210" s="298"/>
      <c r="F210" s="298"/>
      <c r="G210" s="298"/>
      <c r="H210" s="298"/>
      <c r="I210" s="299"/>
      <c r="J210" s="64">
        <v>2548353.3396239998</v>
      </c>
      <c r="K210" s="64">
        <v>1645111.5029600002</v>
      </c>
      <c r="L210" s="64">
        <v>119962.52963200001</v>
      </c>
      <c r="M210" s="64">
        <v>62797.475864999986</v>
      </c>
      <c r="N210" s="64">
        <f t="shared" si="33"/>
        <v>4376224.8480810001</v>
      </c>
      <c r="O210" s="64">
        <v>1</v>
      </c>
      <c r="P210" s="4" t="s">
        <v>58</v>
      </c>
      <c r="Q210" s="64">
        <f t="shared" si="32"/>
        <v>4376224.8480810001</v>
      </c>
      <c r="R210" s="83" t="e">
        <f t="shared" si="30"/>
        <v>#DIV/0!</v>
      </c>
      <c r="S210" s="16" t="e">
        <f t="shared" si="31"/>
        <v>#VALUE!</v>
      </c>
      <c r="T210" s="17" t="e">
        <f t="shared" si="31"/>
        <v>#DIV/0!</v>
      </c>
    </row>
    <row r="211" spans="1:21" ht="31.5" x14ac:dyDescent="0.2">
      <c r="A211" s="63" t="s">
        <v>244</v>
      </c>
      <c r="B211" s="297" t="s">
        <v>26</v>
      </c>
      <c r="C211" s="298"/>
      <c r="D211" s="298"/>
      <c r="E211" s="298"/>
      <c r="F211" s="298"/>
      <c r="G211" s="298"/>
      <c r="H211" s="298"/>
      <c r="I211" s="299"/>
      <c r="J211" s="64">
        <v>3660415.6783420006</v>
      </c>
      <c r="K211" s="64">
        <v>6710328.0939889997</v>
      </c>
      <c r="L211" s="64">
        <v>368268.24381300004</v>
      </c>
      <c r="M211" s="64">
        <v>1113808.606441</v>
      </c>
      <c r="N211" s="64">
        <f t="shared" si="33"/>
        <v>11852820.622585</v>
      </c>
      <c r="O211" s="64">
        <v>10</v>
      </c>
      <c r="P211" s="64" t="s">
        <v>38</v>
      </c>
      <c r="Q211" s="64">
        <f t="shared" si="32"/>
        <v>1185282.0622585001</v>
      </c>
      <c r="R211" s="83" t="e">
        <f t="shared" si="30"/>
        <v>#DIV/0!</v>
      </c>
      <c r="S211" s="16" t="e">
        <f t="shared" si="31"/>
        <v>#VALUE!</v>
      </c>
      <c r="T211" s="17" t="e">
        <f t="shared" si="31"/>
        <v>#DIV/0!</v>
      </c>
    </row>
    <row r="212" spans="1:21" ht="31.5" x14ac:dyDescent="0.2">
      <c r="A212" s="63" t="s">
        <v>245</v>
      </c>
      <c r="B212" s="65">
        <v>203546.80494400003</v>
      </c>
      <c r="C212" s="65">
        <v>74095.745471999995</v>
      </c>
      <c r="D212" s="65">
        <v>24929.805935999997</v>
      </c>
      <c r="E212" s="65">
        <v>2336.7701840000004</v>
      </c>
      <c r="F212" s="66">
        <f>SUM(B212:E212)</f>
        <v>304909.12653600005</v>
      </c>
      <c r="G212" s="72">
        <v>1</v>
      </c>
      <c r="H212" s="68" t="s">
        <v>58</v>
      </c>
      <c r="I212" s="64">
        <f>+F212/G212</f>
        <v>304909.12653600005</v>
      </c>
      <c r="J212" s="64">
        <v>205675.97399999946</v>
      </c>
      <c r="K212" s="64">
        <v>56628.404499999946</v>
      </c>
      <c r="L212" s="64">
        <v>93482.46875</v>
      </c>
      <c r="M212" s="64">
        <v>33763.534499999951</v>
      </c>
      <c r="N212" s="64">
        <f t="shared" si="33"/>
        <v>389550.38174999936</v>
      </c>
      <c r="O212" s="64">
        <v>1</v>
      </c>
      <c r="P212" s="68" t="s">
        <v>58</v>
      </c>
      <c r="Q212" s="64">
        <f t="shared" si="32"/>
        <v>389550.38174999936</v>
      </c>
      <c r="R212" s="83">
        <f t="shared" si="30"/>
        <v>27.7595020442938</v>
      </c>
      <c r="S212" s="16" t="e">
        <f t="shared" si="31"/>
        <v>#VALUE!</v>
      </c>
      <c r="T212" s="17">
        <f t="shared" si="31"/>
        <v>27.7595020442938</v>
      </c>
      <c r="U212" s="2">
        <v>1505</v>
      </c>
    </row>
    <row r="213" spans="1:21" ht="31.5" x14ac:dyDescent="0.2">
      <c r="A213" s="63" t="s">
        <v>246</v>
      </c>
      <c r="B213" s="65">
        <v>203546.80494400003</v>
      </c>
      <c r="C213" s="65">
        <v>74095.745471999995</v>
      </c>
      <c r="D213" s="65">
        <v>24929.805935999997</v>
      </c>
      <c r="E213" s="65">
        <v>2336.7701840000004</v>
      </c>
      <c r="F213" s="66">
        <f>SUM(B213:E213)</f>
        <v>304909.12653600005</v>
      </c>
      <c r="G213" s="72">
        <v>1</v>
      </c>
      <c r="H213" s="68" t="s">
        <v>58</v>
      </c>
      <c r="I213" s="64">
        <f>+F213/G213</f>
        <v>304909.12653600005</v>
      </c>
      <c r="J213" s="64">
        <v>1794821.0296919998</v>
      </c>
      <c r="K213" s="64">
        <v>1124685.6140520002</v>
      </c>
      <c r="L213" s="64">
        <v>91488.811595999985</v>
      </c>
      <c r="M213" s="64">
        <v>64752.851135999997</v>
      </c>
      <c r="N213" s="64">
        <f t="shared" si="33"/>
        <v>3075748.3064760002</v>
      </c>
      <c r="O213" s="64">
        <v>10</v>
      </c>
      <c r="P213" s="68" t="s">
        <v>58</v>
      </c>
      <c r="Q213" s="64">
        <f t="shared" si="32"/>
        <v>307574.8306476</v>
      </c>
      <c r="R213" s="83">
        <f t="shared" si="30"/>
        <v>908.74261830691785</v>
      </c>
      <c r="S213" s="16" t="e">
        <f t="shared" si="31"/>
        <v>#VALUE!</v>
      </c>
      <c r="T213" s="17">
        <f t="shared" si="31"/>
        <v>0.87426183069177854</v>
      </c>
      <c r="U213" s="2">
        <v>1505</v>
      </c>
    </row>
    <row r="214" spans="1:21" ht="31.5" x14ac:dyDescent="0.2">
      <c r="A214" s="63" t="s">
        <v>247</v>
      </c>
      <c r="B214" s="65">
        <v>203546.80494400003</v>
      </c>
      <c r="C214" s="65">
        <v>74095.745471999995</v>
      </c>
      <c r="D214" s="65">
        <v>24929.805935999997</v>
      </c>
      <c r="E214" s="65">
        <v>2336.7701840000004</v>
      </c>
      <c r="F214" s="66">
        <f>SUM(B214:E214)</f>
        <v>304909.12653600005</v>
      </c>
      <c r="G214" s="72">
        <v>1</v>
      </c>
      <c r="H214" s="68" t="s">
        <v>58</v>
      </c>
      <c r="I214" s="64">
        <f>+F214/G214</f>
        <v>304909.12653600005</v>
      </c>
      <c r="J214" s="64">
        <v>205675.97399999946</v>
      </c>
      <c r="K214" s="64">
        <v>56628.404499999946</v>
      </c>
      <c r="L214" s="64">
        <v>93482.46875</v>
      </c>
      <c r="M214" s="64">
        <v>33763.534499999951</v>
      </c>
      <c r="N214" s="64">
        <f t="shared" si="33"/>
        <v>389550.38174999936</v>
      </c>
      <c r="O214" s="64">
        <v>1</v>
      </c>
      <c r="P214" s="68" t="s">
        <v>58</v>
      </c>
      <c r="Q214" s="64">
        <f t="shared" si="32"/>
        <v>389550.38174999936</v>
      </c>
      <c r="R214" s="83">
        <f t="shared" si="30"/>
        <v>27.7595020442938</v>
      </c>
      <c r="S214" s="16" t="e">
        <f t="shared" si="31"/>
        <v>#VALUE!</v>
      </c>
      <c r="T214" s="17">
        <f t="shared" si="31"/>
        <v>27.7595020442938</v>
      </c>
      <c r="U214" s="2">
        <v>1505</v>
      </c>
    </row>
    <row r="215" spans="1:21" x14ac:dyDescent="0.2">
      <c r="A215" s="63" t="s">
        <v>248</v>
      </c>
      <c r="B215" s="65">
        <v>203546.80494400003</v>
      </c>
      <c r="C215" s="65">
        <v>74095.745471999995</v>
      </c>
      <c r="D215" s="65">
        <v>24929.805935999997</v>
      </c>
      <c r="E215" s="65">
        <v>2336.7701840000004</v>
      </c>
      <c r="F215" s="66">
        <f>SUM(B215:E215)</f>
        <v>304909.12653600005</v>
      </c>
      <c r="G215" s="72">
        <v>1</v>
      </c>
      <c r="H215" s="68" t="s">
        <v>58</v>
      </c>
      <c r="I215" s="64">
        <f>+F215/G215</f>
        <v>304909.12653600005</v>
      </c>
      <c r="J215" s="64">
        <v>205675.97399999946</v>
      </c>
      <c r="K215" s="64">
        <v>56628.404499999946</v>
      </c>
      <c r="L215" s="64">
        <v>93482.46875</v>
      </c>
      <c r="M215" s="64">
        <v>33763.534499999951</v>
      </c>
      <c r="N215" s="64">
        <f t="shared" si="33"/>
        <v>389550.38174999936</v>
      </c>
      <c r="O215" s="64">
        <v>1</v>
      </c>
      <c r="P215" s="68" t="s">
        <v>58</v>
      </c>
      <c r="Q215" s="64">
        <f t="shared" si="32"/>
        <v>389550.38174999936</v>
      </c>
      <c r="R215" s="83">
        <f t="shared" si="30"/>
        <v>27.7595020442938</v>
      </c>
      <c r="S215" s="16" t="e">
        <f t="shared" si="31"/>
        <v>#VALUE!</v>
      </c>
      <c r="T215" s="17">
        <f t="shared" si="31"/>
        <v>27.7595020442938</v>
      </c>
      <c r="U215" s="2">
        <v>1505</v>
      </c>
    </row>
    <row r="216" spans="1:21" ht="31.5" x14ac:dyDescent="0.2">
      <c r="A216" s="63" t="s">
        <v>249</v>
      </c>
      <c r="B216" s="297" t="s">
        <v>26</v>
      </c>
      <c r="C216" s="298"/>
      <c r="D216" s="298"/>
      <c r="E216" s="298"/>
      <c r="F216" s="298"/>
      <c r="G216" s="298"/>
      <c r="H216" s="298"/>
      <c r="I216" s="299"/>
      <c r="J216" s="64">
        <v>4099464.3559989999</v>
      </c>
      <c r="K216" s="64">
        <v>613616.494787</v>
      </c>
      <c r="L216" s="64">
        <v>226542.40599700002</v>
      </c>
      <c r="M216" s="64">
        <v>505404.63725400006</v>
      </c>
      <c r="N216" s="64">
        <f t="shared" si="33"/>
        <v>5445027.894036999</v>
      </c>
      <c r="O216" s="64">
        <v>15</v>
      </c>
      <c r="P216" s="64" t="s">
        <v>19</v>
      </c>
      <c r="Q216" s="64">
        <f t="shared" si="32"/>
        <v>363001.85960246657</v>
      </c>
      <c r="R216" s="83" t="e">
        <f t="shared" si="30"/>
        <v>#DIV/0!</v>
      </c>
      <c r="S216" s="16" t="e">
        <f t="shared" si="31"/>
        <v>#VALUE!</v>
      </c>
      <c r="T216" s="17" t="e">
        <f t="shared" si="31"/>
        <v>#DIV/0!</v>
      </c>
    </row>
    <row r="217" spans="1:21" ht="78.75" x14ac:dyDescent="0.2">
      <c r="A217" s="63" t="s">
        <v>250</v>
      </c>
      <c r="B217" s="297" t="s">
        <v>26</v>
      </c>
      <c r="C217" s="298"/>
      <c r="D217" s="298"/>
      <c r="E217" s="298"/>
      <c r="F217" s="298"/>
      <c r="G217" s="298"/>
      <c r="H217" s="298"/>
      <c r="I217" s="299"/>
      <c r="J217" s="64">
        <v>1541340.635888</v>
      </c>
      <c r="K217" s="64">
        <v>806141.29313999997</v>
      </c>
      <c r="L217" s="64">
        <v>98761.821128000011</v>
      </c>
      <c r="M217" s="64">
        <v>98993.528552000003</v>
      </c>
      <c r="N217" s="64">
        <f t="shared" si="33"/>
        <v>2545237.2787079997</v>
      </c>
      <c r="O217" s="64">
        <v>7</v>
      </c>
      <c r="P217" s="64" t="s">
        <v>19</v>
      </c>
      <c r="Q217" s="64">
        <f t="shared" si="32"/>
        <v>363605.32552971423</v>
      </c>
      <c r="R217" s="83" t="e">
        <f t="shared" si="30"/>
        <v>#DIV/0!</v>
      </c>
      <c r="S217" s="16" t="e">
        <f t="shared" si="31"/>
        <v>#VALUE!</v>
      </c>
      <c r="T217" s="17" t="e">
        <f t="shared" si="31"/>
        <v>#DIV/0!</v>
      </c>
    </row>
    <row r="218" spans="1:21" ht="78.75" x14ac:dyDescent="0.2">
      <c r="A218" s="63" t="s">
        <v>251</v>
      </c>
      <c r="B218" s="297" t="s">
        <v>26</v>
      </c>
      <c r="C218" s="298"/>
      <c r="D218" s="298"/>
      <c r="E218" s="298"/>
      <c r="F218" s="298"/>
      <c r="G218" s="298"/>
      <c r="H218" s="298"/>
      <c r="I218" s="299"/>
      <c r="J218" s="64">
        <v>359671.20053000003</v>
      </c>
      <c r="K218" s="64">
        <v>23535.069484</v>
      </c>
      <c r="L218" s="64">
        <v>30901.770108000001</v>
      </c>
      <c r="M218" s="64">
        <v>17470.358904000001</v>
      </c>
      <c r="N218" s="64">
        <f t="shared" si="33"/>
        <v>431578.39902600006</v>
      </c>
      <c r="O218" s="64">
        <v>1</v>
      </c>
      <c r="P218" s="64" t="s">
        <v>19</v>
      </c>
      <c r="Q218" s="64">
        <f t="shared" si="32"/>
        <v>431578.39902600006</v>
      </c>
      <c r="R218" s="83" t="e">
        <f t="shared" si="30"/>
        <v>#DIV/0!</v>
      </c>
      <c r="S218" s="16" t="e">
        <f t="shared" si="31"/>
        <v>#VALUE!</v>
      </c>
      <c r="T218" s="17" t="e">
        <f t="shared" si="31"/>
        <v>#DIV/0!</v>
      </c>
    </row>
    <row r="219" spans="1:21" ht="26.25" x14ac:dyDescent="0.2">
      <c r="A219" s="84" t="s">
        <v>252</v>
      </c>
      <c r="B219" s="85"/>
      <c r="C219" s="85"/>
      <c r="D219" s="85"/>
      <c r="E219" s="85"/>
      <c r="F219" s="85"/>
      <c r="G219" s="85"/>
      <c r="H219" s="85"/>
      <c r="I219" s="85"/>
      <c r="J219" s="86"/>
      <c r="K219" s="86"/>
      <c r="L219" s="86"/>
      <c r="M219" s="86"/>
      <c r="N219" s="86"/>
      <c r="O219" s="86"/>
      <c r="P219" s="86"/>
      <c r="Q219" s="86"/>
      <c r="R219" s="83" t="e">
        <f t="shared" si="30"/>
        <v>#DIV/0!</v>
      </c>
      <c r="S219" s="16" t="e">
        <f t="shared" si="31"/>
        <v>#DIV/0!</v>
      </c>
      <c r="T219" s="17" t="e">
        <f t="shared" si="31"/>
        <v>#DIV/0!</v>
      </c>
    </row>
    <row r="220" spans="1:21" x14ac:dyDescent="0.2">
      <c r="A220" s="63" t="s">
        <v>253</v>
      </c>
      <c r="B220" s="65">
        <v>68839380.359999999</v>
      </c>
      <c r="C220" s="65">
        <v>9627089.9199999999</v>
      </c>
      <c r="D220" s="65">
        <v>3868947.34</v>
      </c>
      <c r="E220" s="65">
        <v>4455258.0199999996</v>
      </c>
      <c r="F220" s="66">
        <f>SUM(B220:E220)</f>
        <v>86790675.640000001</v>
      </c>
      <c r="G220" s="67">
        <v>53</v>
      </c>
      <c r="H220" s="68" t="s">
        <v>58</v>
      </c>
      <c r="I220" s="64">
        <f>+F220/G220</f>
        <v>1637559.917735849</v>
      </c>
      <c r="J220" s="64">
        <v>70585673.219999999</v>
      </c>
      <c r="K220" s="64">
        <v>11569458.890000001</v>
      </c>
      <c r="L220" s="64">
        <v>1940845.32</v>
      </c>
      <c r="M220" s="64">
        <v>1663879.5</v>
      </c>
      <c r="N220" s="64">
        <f>SUM(J220:M220)</f>
        <v>85759856.929999992</v>
      </c>
      <c r="O220" s="64">
        <v>48</v>
      </c>
      <c r="P220" s="68" t="s">
        <v>58</v>
      </c>
      <c r="Q220" s="64">
        <f t="shared" si="32"/>
        <v>1786663.6860416664</v>
      </c>
      <c r="R220" s="83">
        <f t="shared" si="30"/>
        <v>-1.1877067466046154</v>
      </c>
      <c r="S220" s="16" t="e">
        <f t="shared" si="31"/>
        <v>#VALUE!</v>
      </c>
      <c r="T220" s="17">
        <f t="shared" si="31"/>
        <v>9.1052404672907343</v>
      </c>
    </row>
    <row r="221" spans="1:21" ht="47.25" x14ac:dyDescent="0.2">
      <c r="A221" s="63" t="s">
        <v>254</v>
      </c>
      <c r="B221" s="65">
        <v>18571498.899999999</v>
      </c>
      <c r="C221" s="65">
        <v>6378329.9900000002</v>
      </c>
      <c r="D221" s="65">
        <v>1243808.6299999999</v>
      </c>
      <c r="E221" s="65">
        <v>1451155.78</v>
      </c>
      <c r="F221" s="66">
        <v>27644793.300000001</v>
      </c>
      <c r="G221" s="67">
        <v>4890</v>
      </c>
      <c r="H221" s="68" t="s">
        <v>29</v>
      </c>
      <c r="I221" s="64">
        <v>5653.3319631901841</v>
      </c>
      <c r="J221" s="64">
        <v>22096893.309556</v>
      </c>
      <c r="K221" s="64">
        <v>6044424.8346100003</v>
      </c>
      <c r="L221" s="64">
        <v>2378072.0958179999</v>
      </c>
      <c r="M221" s="64">
        <v>2506064.1320859999</v>
      </c>
      <c r="N221" s="64">
        <f t="shared" ref="N221:N244" si="34">SUM(J221:M221)</f>
        <v>33025454.37207</v>
      </c>
      <c r="O221" s="64">
        <v>4890</v>
      </c>
      <c r="P221" s="87" t="s">
        <v>29</v>
      </c>
      <c r="Q221" s="64">
        <f t="shared" si="32"/>
        <v>6753.6716507300616</v>
      </c>
      <c r="R221" s="83">
        <f t="shared" si="30"/>
        <v>19.463560510940766</v>
      </c>
      <c r="S221" s="16" t="e">
        <f t="shared" si="31"/>
        <v>#VALUE!</v>
      </c>
      <c r="T221" s="17">
        <f t="shared" si="31"/>
        <v>19.463560510940773</v>
      </c>
    </row>
    <row r="222" spans="1:21" ht="31.5" x14ac:dyDescent="0.2">
      <c r="A222" s="63" t="s">
        <v>255</v>
      </c>
      <c r="B222" s="65">
        <v>32303197.329999998</v>
      </c>
      <c r="C222" s="65">
        <v>7622361.2000000002</v>
      </c>
      <c r="D222" s="65">
        <v>2208019.5499999998</v>
      </c>
      <c r="E222" s="65">
        <v>1654424.64</v>
      </c>
      <c r="F222" s="66">
        <v>43788002.719999999</v>
      </c>
      <c r="G222" s="67">
        <v>6522</v>
      </c>
      <c r="H222" s="68" t="s">
        <v>256</v>
      </c>
      <c r="I222" s="64">
        <v>6713.8918613922106</v>
      </c>
      <c r="J222" s="64">
        <v>36157765.637585007</v>
      </c>
      <c r="K222" s="64">
        <v>6358861.7194529995</v>
      </c>
      <c r="L222" s="64">
        <v>1680527.9611649998</v>
      </c>
      <c r="M222" s="64">
        <v>799045.81698999996</v>
      </c>
      <c r="N222" s="64">
        <f t="shared" si="34"/>
        <v>44996201.135193005</v>
      </c>
      <c r="O222" s="64">
        <v>6364</v>
      </c>
      <c r="P222" s="64" t="s">
        <v>256</v>
      </c>
      <c r="Q222" s="64">
        <f t="shared" si="32"/>
        <v>7070.4275825256136</v>
      </c>
      <c r="R222" s="83">
        <f t="shared" si="30"/>
        <v>2.7591996440640725</v>
      </c>
      <c r="S222" s="16" t="e">
        <f t="shared" si="31"/>
        <v>#VALUE!</v>
      </c>
      <c r="T222" s="17">
        <f t="shared" si="31"/>
        <v>5.3104179884641587</v>
      </c>
    </row>
    <row r="223" spans="1:21" ht="47.25" x14ac:dyDescent="0.2">
      <c r="A223" s="63" t="s">
        <v>257</v>
      </c>
      <c r="B223" s="65">
        <v>8488918.3599999994</v>
      </c>
      <c r="C223" s="65">
        <v>846664.78</v>
      </c>
      <c r="D223" s="65">
        <v>413345.99</v>
      </c>
      <c r="E223" s="65">
        <v>301389.67</v>
      </c>
      <c r="F223" s="66">
        <v>10050318.799999999</v>
      </c>
      <c r="G223" s="67">
        <v>751</v>
      </c>
      <c r="H223" s="68" t="s">
        <v>258</v>
      </c>
      <c r="I223" s="64">
        <v>13382.581624500664</v>
      </c>
      <c r="J223" s="64">
        <v>2188488.9312109984</v>
      </c>
      <c r="K223" s="64">
        <v>9988790.3329599984</v>
      </c>
      <c r="L223" s="64">
        <v>1229545.3787990003</v>
      </c>
      <c r="M223" s="64">
        <v>1343469.4190590002</v>
      </c>
      <c r="N223" s="64">
        <f t="shared" si="34"/>
        <v>14750294.062028999</v>
      </c>
      <c r="O223" s="64">
        <v>760</v>
      </c>
      <c r="P223" s="64" t="s">
        <v>259</v>
      </c>
      <c r="Q223" s="64">
        <f t="shared" si="32"/>
        <v>19408.281660564473</v>
      </c>
      <c r="R223" s="83">
        <f t="shared" si="30"/>
        <v>46.764439572095959</v>
      </c>
      <c r="S223" s="16" t="e">
        <f t="shared" si="31"/>
        <v>#VALUE!</v>
      </c>
      <c r="T223" s="17">
        <f t="shared" si="31"/>
        <v>45.026439629794837</v>
      </c>
    </row>
    <row r="224" spans="1:21" ht="31.5" x14ac:dyDescent="0.2">
      <c r="A224" s="63" t="s">
        <v>260</v>
      </c>
      <c r="B224" s="65">
        <v>134997.53000000119</v>
      </c>
      <c r="C224" s="65">
        <v>184066.11</v>
      </c>
      <c r="D224" s="65">
        <v>66718.079999999958</v>
      </c>
      <c r="E224" s="65">
        <v>3219.5600000000559</v>
      </c>
      <c r="F224" s="66">
        <v>389001.28000000119</v>
      </c>
      <c r="G224" s="67">
        <v>60</v>
      </c>
      <c r="H224" s="68" t="s">
        <v>261</v>
      </c>
      <c r="I224" s="64">
        <v>6483.3546666666862</v>
      </c>
      <c r="J224" s="64">
        <v>161797.53000000099</v>
      </c>
      <c r="K224" s="64">
        <v>189498.11</v>
      </c>
      <c r="L224" s="64">
        <v>66718.079999999958</v>
      </c>
      <c r="M224" s="64">
        <v>3219.5600000000559</v>
      </c>
      <c r="N224" s="64">
        <f t="shared" si="34"/>
        <v>421233.28000000096</v>
      </c>
      <c r="O224" s="64">
        <v>60</v>
      </c>
      <c r="P224" s="64" t="s">
        <v>261</v>
      </c>
      <c r="Q224" s="64">
        <f t="shared" si="32"/>
        <v>7020.5546666666824</v>
      </c>
      <c r="R224" s="83">
        <f t="shared" si="30"/>
        <v>8.2858339180785396</v>
      </c>
      <c r="S224" s="16" t="e">
        <f t="shared" si="31"/>
        <v>#VALUE!</v>
      </c>
      <c r="T224" s="17">
        <f t="shared" si="31"/>
        <v>8.2858339180785396</v>
      </c>
    </row>
    <row r="225" spans="1:25" ht="31.5" x14ac:dyDescent="0.2">
      <c r="A225" s="63" t="s">
        <v>262</v>
      </c>
      <c r="B225" s="65">
        <v>18809773.870000001</v>
      </c>
      <c r="C225" s="65">
        <v>4343138.3099999996</v>
      </c>
      <c r="D225" s="65">
        <v>854368.27</v>
      </c>
      <c r="E225" s="65">
        <v>936240.94</v>
      </c>
      <c r="F225" s="66">
        <v>24943521.390000001</v>
      </c>
      <c r="G225" s="67">
        <v>1</v>
      </c>
      <c r="H225" s="68" t="s">
        <v>263</v>
      </c>
      <c r="I225" s="64">
        <v>24943521.390000001</v>
      </c>
      <c r="J225" s="64">
        <v>7574319.6867689993</v>
      </c>
      <c r="K225" s="64">
        <v>2437244.0450960002</v>
      </c>
      <c r="L225" s="64">
        <v>414019.86804199999</v>
      </c>
      <c r="M225" s="64">
        <v>259726.94746600001</v>
      </c>
      <c r="N225" s="64">
        <f t="shared" si="34"/>
        <v>10685310.547373001</v>
      </c>
      <c r="O225" s="64">
        <v>1</v>
      </c>
      <c r="P225" s="64" t="s">
        <v>263</v>
      </c>
      <c r="Q225" s="64">
        <f t="shared" si="32"/>
        <v>10685310.547373001</v>
      </c>
      <c r="R225" s="83">
        <f t="shared" si="30"/>
        <v>-57.161980538734994</v>
      </c>
      <c r="S225" s="16" t="e">
        <f t="shared" si="31"/>
        <v>#VALUE!</v>
      </c>
      <c r="T225" s="17">
        <f t="shared" si="31"/>
        <v>-57.161980538734994</v>
      </c>
    </row>
    <row r="226" spans="1:25" ht="31.5" x14ac:dyDescent="0.2">
      <c r="A226" s="63" t="s">
        <v>264</v>
      </c>
      <c r="B226" s="65">
        <v>28656191.329999998</v>
      </c>
      <c r="C226" s="65">
        <v>2219171.63</v>
      </c>
      <c r="D226" s="65">
        <v>2072805.71</v>
      </c>
      <c r="E226" s="65">
        <v>3801816.06</v>
      </c>
      <c r="F226" s="66">
        <v>36749984.729999997</v>
      </c>
      <c r="G226" s="67">
        <v>1</v>
      </c>
      <c r="H226" s="68" t="s">
        <v>263</v>
      </c>
      <c r="I226" s="64">
        <v>36749984.729999997</v>
      </c>
      <c r="J226" s="64">
        <v>19561888.388959002</v>
      </c>
      <c r="K226" s="64">
        <v>7759135.4349170001</v>
      </c>
      <c r="L226" s="64">
        <v>987376.8955300001</v>
      </c>
      <c r="M226" s="64">
        <v>1929709.5307490001</v>
      </c>
      <c r="N226" s="64">
        <f t="shared" si="34"/>
        <v>30238110.250155002</v>
      </c>
      <c r="O226" s="64">
        <v>1</v>
      </c>
      <c r="P226" s="64" t="s">
        <v>263</v>
      </c>
      <c r="Q226" s="64">
        <f t="shared" si="32"/>
        <v>30238110.250155002</v>
      </c>
      <c r="R226" s="83">
        <f t="shared" si="30"/>
        <v>-17.719393702303165</v>
      </c>
      <c r="S226" s="16" t="e">
        <f t="shared" si="31"/>
        <v>#VALUE!</v>
      </c>
      <c r="T226" s="17">
        <f t="shared" si="31"/>
        <v>-17.719393702303165</v>
      </c>
    </row>
    <row r="227" spans="1:25" s="91" customFormat="1" x14ac:dyDescent="0.2">
      <c r="A227" s="88" t="s">
        <v>265</v>
      </c>
      <c r="B227" s="89">
        <v>18168226.43</v>
      </c>
      <c r="C227" s="89">
        <v>1729302.33</v>
      </c>
      <c r="D227" s="89">
        <v>1254517.07</v>
      </c>
      <c r="E227" s="89">
        <v>1643057.29</v>
      </c>
      <c r="F227" s="66">
        <v>22795103.119999997</v>
      </c>
      <c r="G227" s="90">
        <v>65894</v>
      </c>
      <c r="H227" s="74" t="s">
        <v>266</v>
      </c>
      <c r="I227" s="64">
        <v>345.93594439554431</v>
      </c>
      <c r="J227" s="64">
        <v>19471218.770737</v>
      </c>
      <c r="K227" s="64">
        <v>7999524.7129109995</v>
      </c>
      <c r="L227" s="64">
        <v>1020240.9709589998</v>
      </c>
      <c r="M227" s="64">
        <v>1079381.950435</v>
      </c>
      <c r="N227" s="64">
        <f t="shared" si="34"/>
        <v>29570366.405042</v>
      </c>
      <c r="O227" s="64">
        <v>75492</v>
      </c>
      <c r="P227" s="87" t="s">
        <v>266</v>
      </c>
      <c r="Q227" s="64">
        <f t="shared" si="32"/>
        <v>391.70198703229482</v>
      </c>
      <c r="R227" s="83">
        <f t="shared" si="30"/>
        <v>29.722450692041459</v>
      </c>
      <c r="S227" s="16" t="e">
        <f t="shared" si="31"/>
        <v>#VALUE!</v>
      </c>
      <c r="T227" s="17">
        <f t="shared" si="31"/>
        <v>13.229629177944419</v>
      </c>
    </row>
    <row r="228" spans="1:25" s="91" customFormat="1" ht="31.5" x14ac:dyDescent="0.2">
      <c r="A228" s="88" t="s">
        <v>267</v>
      </c>
      <c r="B228" s="89">
        <v>18055143.640000001</v>
      </c>
      <c r="C228" s="89">
        <v>2918286.88</v>
      </c>
      <c r="D228" s="89">
        <v>952976.85</v>
      </c>
      <c r="E228" s="89">
        <v>2384926.6800000002</v>
      </c>
      <c r="F228" s="66">
        <v>24311334.050000001</v>
      </c>
      <c r="G228" s="90">
        <v>16245</v>
      </c>
      <c r="H228" s="74" t="s">
        <v>268</v>
      </c>
      <c r="I228" s="64">
        <v>1496.5425700215451</v>
      </c>
      <c r="J228" s="64">
        <v>8441385.0262890011</v>
      </c>
      <c r="K228" s="64">
        <v>2491428.3117299974</v>
      </c>
      <c r="L228" s="64">
        <v>2061706.2131500004</v>
      </c>
      <c r="M228" s="64">
        <v>2305794.1061559995</v>
      </c>
      <c r="N228" s="64">
        <f t="shared" si="34"/>
        <v>15300313.657324998</v>
      </c>
      <c r="O228" s="64">
        <v>16245</v>
      </c>
      <c r="P228" s="87" t="s">
        <v>268</v>
      </c>
      <c r="Q228" s="64">
        <f t="shared" si="32"/>
        <v>941.84756277777763</v>
      </c>
      <c r="R228" s="83">
        <f t="shared" si="30"/>
        <v>-37.065100475944476</v>
      </c>
      <c r="S228" s="16" t="e">
        <f t="shared" si="31"/>
        <v>#VALUE!</v>
      </c>
      <c r="T228" s="17">
        <f t="shared" si="31"/>
        <v>-37.065100475944476</v>
      </c>
    </row>
    <row r="229" spans="1:25" s="91" customFormat="1" x14ac:dyDescent="0.2">
      <c r="A229" s="88" t="s">
        <v>269</v>
      </c>
      <c r="B229" s="89">
        <v>33658323.030000001</v>
      </c>
      <c r="C229" s="89">
        <v>2594516.36</v>
      </c>
      <c r="D229" s="89">
        <v>1938954.02</v>
      </c>
      <c r="E229" s="89">
        <v>2861931.13</v>
      </c>
      <c r="F229" s="66">
        <v>41053724.540000007</v>
      </c>
      <c r="G229" s="90">
        <v>13201</v>
      </c>
      <c r="H229" s="74" t="s">
        <v>270</v>
      </c>
      <c r="I229" s="64">
        <v>3109.8950488599353</v>
      </c>
      <c r="J229" s="64">
        <v>19568252.685937002</v>
      </c>
      <c r="K229" s="64">
        <v>24167656.542035993</v>
      </c>
      <c r="L229" s="64">
        <v>1385758.368459</v>
      </c>
      <c r="M229" s="64">
        <v>1710256.34027</v>
      </c>
      <c r="N229" s="64">
        <f t="shared" si="34"/>
        <v>46831923.936701998</v>
      </c>
      <c r="O229" s="64">
        <v>10898</v>
      </c>
      <c r="P229" s="87" t="s">
        <v>271</v>
      </c>
      <c r="Q229" s="64">
        <f t="shared" si="32"/>
        <v>4297.2952777300425</v>
      </c>
      <c r="R229" s="83">
        <f t="shared" si="30"/>
        <v>14.074726377315899</v>
      </c>
      <c r="S229" s="16" t="e">
        <f t="shared" si="31"/>
        <v>#VALUE!</v>
      </c>
      <c r="T229" s="17">
        <f t="shared" si="31"/>
        <v>38.181360149288615</v>
      </c>
    </row>
    <row r="230" spans="1:25" s="91" customFormat="1" x14ac:dyDescent="0.2">
      <c r="A230" s="88" t="s">
        <v>272</v>
      </c>
      <c r="B230" s="89">
        <v>20646832</v>
      </c>
      <c r="C230" s="89">
        <v>1233623.7</v>
      </c>
      <c r="D230" s="89">
        <v>1326422.82</v>
      </c>
      <c r="E230" s="89">
        <v>1403300.24</v>
      </c>
      <c r="F230" s="66">
        <v>24610178.759999998</v>
      </c>
      <c r="G230" s="90">
        <v>9358802</v>
      </c>
      <c r="H230" s="74" t="s">
        <v>273</v>
      </c>
      <c r="I230" s="64">
        <v>2.6296291726227352</v>
      </c>
      <c r="J230" s="64">
        <v>22506256.788108993</v>
      </c>
      <c r="K230" s="64">
        <v>8768695.5150600001</v>
      </c>
      <c r="L230" s="64">
        <v>1068544.3936990001</v>
      </c>
      <c r="M230" s="64">
        <v>4259000.8475330006</v>
      </c>
      <c r="N230" s="64">
        <f t="shared" si="34"/>
        <v>36602497.544400997</v>
      </c>
      <c r="O230" s="64">
        <v>10987231</v>
      </c>
      <c r="P230" s="87" t="s">
        <v>273</v>
      </c>
      <c r="Q230" s="64">
        <f t="shared" si="32"/>
        <v>3.3313668880176448</v>
      </c>
      <c r="R230" s="83">
        <f t="shared" si="30"/>
        <v>48.729100675581606</v>
      </c>
      <c r="S230" s="16" t="e">
        <f t="shared" si="31"/>
        <v>#VALUE!</v>
      </c>
      <c r="T230" s="17">
        <f t="shared" si="31"/>
        <v>26.685805082357355</v>
      </c>
    </row>
    <row r="231" spans="1:25" s="91" customFormat="1" x14ac:dyDescent="0.2">
      <c r="A231" s="88" t="s">
        <v>274</v>
      </c>
      <c r="B231" s="89">
        <v>32977619.920000002</v>
      </c>
      <c r="C231" s="89">
        <v>2054974.84</v>
      </c>
      <c r="D231" s="89">
        <v>1615583.22</v>
      </c>
      <c r="E231" s="89">
        <v>2550575.36</v>
      </c>
      <c r="F231" s="66">
        <v>39198753.340000004</v>
      </c>
      <c r="G231" s="90">
        <v>1</v>
      </c>
      <c r="H231" s="74" t="s">
        <v>19</v>
      </c>
      <c r="I231" s="64">
        <v>39198753.340000004</v>
      </c>
      <c r="J231" s="64">
        <v>36203817.223233998</v>
      </c>
      <c r="K231" s="64">
        <v>5996603.2074330002</v>
      </c>
      <c r="L231" s="64">
        <v>1918458.3072620004</v>
      </c>
      <c r="M231" s="64">
        <v>3153181.4228770006</v>
      </c>
      <c r="N231" s="64">
        <f t="shared" si="34"/>
        <v>47272060.160806</v>
      </c>
      <c r="O231" s="64">
        <v>1</v>
      </c>
      <c r="P231" s="87" t="s">
        <v>19</v>
      </c>
      <c r="Q231" s="64">
        <f t="shared" si="32"/>
        <v>47272060.160806</v>
      </c>
      <c r="R231" s="83">
        <f t="shared" si="30"/>
        <v>20.595825461029818</v>
      </c>
      <c r="S231" s="16" t="e">
        <f t="shared" si="31"/>
        <v>#VALUE!</v>
      </c>
      <c r="T231" s="17">
        <f t="shared" si="31"/>
        <v>20.595825461029818</v>
      </c>
    </row>
    <row r="232" spans="1:25" s="91" customFormat="1" x14ac:dyDescent="0.2">
      <c r="A232" s="88" t="s">
        <v>275</v>
      </c>
      <c r="B232" s="89">
        <v>311426.23</v>
      </c>
      <c r="C232" s="89">
        <v>77976.23</v>
      </c>
      <c r="D232" s="89">
        <v>35232.65</v>
      </c>
      <c r="E232" s="89">
        <v>7747.25</v>
      </c>
      <c r="F232" s="66">
        <v>432382.36</v>
      </c>
      <c r="G232" s="90">
        <v>1</v>
      </c>
      <c r="H232" s="74" t="s">
        <v>19</v>
      </c>
      <c r="I232" s="64">
        <v>432382.36</v>
      </c>
      <c r="J232" s="64">
        <v>401546.80494399997</v>
      </c>
      <c r="K232" s="64">
        <v>74095.745471999995</v>
      </c>
      <c r="L232" s="64">
        <v>123929.805936</v>
      </c>
      <c r="M232" s="64">
        <v>5836.770184</v>
      </c>
      <c r="N232" s="64">
        <f t="shared" si="34"/>
        <v>605409.12653599994</v>
      </c>
      <c r="O232" s="64">
        <v>1</v>
      </c>
      <c r="P232" s="87" t="s">
        <v>19</v>
      </c>
      <c r="Q232" s="64">
        <f t="shared" si="32"/>
        <v>605409.12653599994</v>
      </c>
      <c r="R232" s="83">
        <f t="shared" si="30"/>
        <v>40.01707343842611</v>
      </c>
      <c r="S232" s="16" t="e">
        <f t="shared" si="31"/>
        <v>#VALUE!</v>
      </c>
      <c r="T232" s="17">
        <f t="shared" si="31"/>
        <v>40.01707343842611</v>
      </c>
    </row>
    <row r="233" spans="1:25" s="91" customFormat="1" x14ac:dyDescent="0.2">
      <c r="A233" s="88" t="s">
        <v>276</v>
      </c>
      <c r="B233" s="89">
        <v>9289120.5199999996</v>
      </c>
      <c r="C233" s="89">
        <v>794148.41</v>
      </c>
      <c r="D233" s="89">
        <v>393444.43</v>
      </c>
      <c r="E233" s="89">
        <v>459807.6</v>
      </c>
      <c r="F233" s="66">
        <v>10936520.959999999</v>
      </c>
      <c r="G233" s="90">
        <v>1</v>
      </c>
      <c r="H233" s="74" t="s">
        <v>19</v>
      </c>
      <c r="I233" s="64">
        <v>10936520.959999999</v>
      </c>
      <c r="J233" s="64">
        <v>15586123.500898</v>
      </c>
      <c r="K233" s="64">
        <v>87191.916170000099</v>
      </c>
      <c r="L233" s="64">
        <v>1216363.2019500001</v>
      </c>
      <c r="M233" s="64">
        <v>1435147.531681</v>
      </c>
      <c r="N233" s="64">
        <f t="shared" si="34"/>
        <v>18324826.150699001</v>
      </c>
      <c r="O233" s="64">
        <v>1</v>
      </c>
      <c r="P233" s="87" t="s">
        <v>19</v>
      </c>
      <c r="Q233" s="64">
        <f t="shared" si="32"/>
        <v>18324826.150699001</v>
      </c>
      <c r="R233" s="83">
        <f t="shared" si="30"/>
        <v>67.556265998314359</v>
      </c>
      <c r="S233" s="16" t="e">
        <f t="shared" si="31"/>
        <v>#VALUE!</v>
      </c>
      <c r="T233" s="17">
        <f t="shared" si="31"/>
        <v>67.556265998314359</v>
      </c>
    </row>
    <row r="234" spans="1:25" s="91" customFormat="1" x14ac:dyDescent="0.2">
      <c r="A234" s="88" t="s">
        <v>277</v>
      </c>
      <c r="B234" s="89">
        <v>27410519.109999999</v>
      </c>
      <c r="C234" s="89">
        <v>3783024.5300000003</v>
      </c>
      <c r="D234" s="89">
        <v>1136072.19</v>
      </c>
      <c r="E234" s="92">
        <v>1362576.04</v>
      </c>
      <c r="F234" s="66">
        <f>SUM(B234:E234)</f>
        <v>33692191.870000005</v>
      </c>
      <c r="G234" s="90">
        <v>39817886</v>
      </c>
      <c r="H234" s="74" t="s">
        <v>278</v>
      </c>
      <c r="I234" s="64">
        <v>0.90143307030413433</v>
      </c>
      <c r="J234" s="64">
        <v>15586123.500898</v>
      </c>
      <c r="K234" s="64">
        <v>87191.916170000099</v>
      </c>
      <c r="L234" s="64">
        <v>1216363.2019500001</v>
      </c>
      <c r="M234" s="64">
        <v>1435147.531681</v>
      </c>
      <c r="N234" s="64">
        <f t="shared" si="34"/>
        <v>18324826.150699001</v>
      </c>
      <c r="O234" s="66">
        <v>40371713</v>
      </c>
      <c r="P234" s="74" t="s">
        <v>278</v>
      </c>
      <c r="Q234" s="64">
        <f t="shared" si="32"/>
        <v>0.45390261618819594</v>
      </c>
      <c r="R234" s="83">
        <f t="shared" si="30"/>
        <v>-45.611059614629347</v>
      </c>
      <c r="S234" s="16" t="e">
        <f t="shared" si="31"/>
        <v>#VALUE!</v>
      </c>
      <c r="T234" s="17">
        <f t="shared" si="31"/>
        <v>-49.646553788507688</v>
      </c>
    </row>
    <row r="235" spans="1:25" x14ac:dyDescent="0.2">
      <c r="A235" s="63" t="s">
        <v>279</v>
      </c>
      <c r="B235" s="65">
        <v>16621597.82</v>
      </c>
      <c r="C235" s="65">
        <v>916994.15</v>
      </c>
      <c r="D235" s="65">
        <v>1260054.29</v>
      </c>
      <c r="E235" s="65">
        <v>1078979.6499999999</v>
      </c>
      <c r="F235" s="66">
        <v>19877625.909999996</v>
      </c>
      <c r="G235" s="67">
        <v>10</v>
      </c>
      <c r="H235" s="68" t="s">
        <v>100</v>
      </c>
      <c r="I235" s="64">
        <v>1987762.5909999995</v>
      </c>
      <c r="J235" s="64">
        <v>15586123.500898</v>
      </c>
      <c r="K235" s="64">
        <v>87191.916170000099</v>
      </c>
      <c r="L235" s="64">
        <v>1216363.2019500001</v>
      </c>
      <c r="M235" s="64">
        <v>1435147.531681</v>
      </c>
      <c r="N235" s="64">
        <f t="shared" si="34"/>
        <v>18324826.150699001</v>
      </c>
      <c r="O235" s="64">
        <v>8</v>
      </c>
      <c r="P235" s="68" t="s">
        <v>100</v>
      </c>
      <c r="Q235" s="64">
        <f t="shared" si="32"/>
        <v>2290603.2688373751</v>
      </c>
      <c r="R235" s="83">
        <f t="shared" si="30"/>
        <v>-7.8117968731860294</v>
      </c>
      <c r="S235" s="16" t="e">
        <f t="shared" si="31"/>
        <v>#VALUE!</v>
      </c>
      <c r="T235" s="17">
        <f t="shared" si="31"/>
        <v>15.235253908517468</v>
      </c>
    </row>
    <row r="236" spans="1:25" ht="31.5" x14ac:dyDescent="0.2">
      <c r="A236" s="63" t="s">
        <v>280</v>
      </c>
      <c r="B236" s="65">
        <v>15781355.93</v>
      </c>
      <c r="C236" s="65">
        <v>1865001.32</v>
      </c>
      <c r="D236" s="65">
        <v>1413817.29</v>
      </c>
      <c r="E236" s="65">
        <v>915411.02</v>
      </c>
      <c r="F236" s="66">
        <v>19975585.559999999</v>
      </c>
      <c r="G236" s="67">
        <v>1</v>
      </c>
      <c r="H236" s="68" t="s">
        <v>19</v>
      </c>
      <c r="I236" s="64">
        <v>19975585.559999999</v>
      </c>
      <c r="J236" s="64">
        <v>15586123.500898</v>
      </c>
      <c r="K236" s="64">
        <v>87191.916170000099</v>
      </c>
      <c r="L236" s="64">
        <v>2716363.2019499997</v>
      </c>
      <c r="M236" s="64">
        <v>1435147.531681</v>
      </c>
      <c r="N236" s="64">
        <f t="shared" si="34"/>
        <v>19824826.150699001</v>
      </c>
      <c r="O236" s="64">
        <v>2</v>
      </c>
      <c r="P236" s="68" t="s">
        <v>19</v>
      </c>
      <c r="Q236" s="64">
        <f t="shared" si="32"/>
        <v>9912413.0753495004</v>
      </c>
      <c r="R236" s="83">
        <f t="shared" si="30"/>
        <v>-0.75471834779594749</v>
      </c>
      <c r="S236" s="16" t="e">
        <f t="shared" si="31"/>
        <v>#VALUE!</v>
      </c>
      <c r="T236" s="17">
        <f t="shared" si="31"/>
        <v>-50.377359173897972</v>
      </c>
    </row>
    <row r="237" spans="1:25" ht="31.5" x14ac:dyDescent="0.2">
      <c r="A237" s="63" t="s">
        <v>281</v>
      </c>
      <c r="B237" s="65">
        <v>13579215.16</v>
      </c>
      <c r="C237" s="65">
        <v>2056753.44</v>
      </c>
      <c r="D237" s="65">
        <v>947256.8</v>
      </c>
      <c r="E237" s="65">
        <v>1550116.88</v>
      </c>
      <c r="F237" s="66">
        <f>SUM(B237:E237)</f>
        <v>18133342.280000001</v>
      </c>
      <c r="G237" s="67">
        <v>7414</v>
      </c>
      <c r="H237" s="68" t="s">
        <v>282</v>
      </c>
      <c r="I237" s="64">
        <f t="shared" ref="I237:I252" si="35">+F237/G237</f>
        <v>2445.8244240625845</v>
      </c>
      <c r="J237" s="64">
        <v>12634100.881664999</v>
      </c>
      <c r="K237" s="64">
        <v>3080618.331698</v>
      </c>
      <c r="L237" s="64">
        <v>1147341.3047379998</v>
      </c>
      <c r="M237" s="64">
        <v>4048481.2147090002</v>
      </c>
      <c r="N237" s="64">
        <f t="shared" si="34"/>
        <v>20910541.732809998</v>
      </c>
      <c r="O237" s="64">
        <v>7613</v>
      </c>
      <c r="P237" s="68" t="s">
        <v>282</v>
      </c>
      <c r="Q237" s="64">
        <f t="shared" si="32"/>
        <v>2746.6887866557204</v>
      </c>
      <c r="R237" s="83">
        <f t="shared" si="30"/>
        <v>15.31543060251547</v>
      </c>
      <c r="S237" s="16" t="e">
        <f t="shared" si="31"/>
        <v>#VALUE!</v>
      </c>
      <c r="T237" s="17">
        <f t="shared" si="31"/>
        <v>12.301143108767862</v>
      </c>
      <c r="U237" s="4"/>
      <c r="V237" s="4"/>
      <c r="W237" s="4"/>
      <c r="X237" s="4"/>
      <c r="Y237" s="4"/>
    </row>
    <row r="238" spans="1:25" ht="31.5" x14ac:dyDescent="0.2">
      <c r="A238" s="63" t="s">
        <v>283</v>
      </c>
      <c r="B238" s="65">
        <v>4702923.68</v>
      </c>
      <c r="C238" s="65">
        <v>1183831.08</v>
      </c>
      <c r="D238" s="65">
        <v>262359.23</v>
      </c>
      <c r="E238" s="65">
        <v>672513.66</v>
      </c>
      <c r="F238" s="66">
        <f>SUM(B238:E238)</f>
        <v>6821627.6500000004</v>
      </c>
      <c r="G238" s="67">
        <v>6</v>
      </c>
      <c r="H238" s="68" t="s">
        <v>58</v>
      </c>
      <c r="I238" s="64">
        <f t="shared" si="35"/>
        <v>1136937.9416666667</v>
      </c>
      <c r="J238" s="64">
        <v>6880432.8718429999</v>
      </c>
      <c r="K238" s="64">
        <v>3321010.6558680004</v>
      </c>
      <c r="L238" s="64">
        <v>376915.59677100001</v>
      </c>
      <c r="M238" s="64">
        <v>210436.50073299999</v>
      </c>
      <c r="N238" s="64">
        <f t="shared" si="34"/>
        <v>10788795.625215</v>
      </c>
      <c r="O238" s="68">
        <v>9</v>
      </c>
      <c r="P238" s="68" t="s">
        <v>58</v>
      </c>
      <c r="Q238" s="64">
        <f t="shared" si="32"/>
        <v>1198755.0694683334</v>
      </c>
      <c r="R238" s="83">
        <f t="shared" si="30"/>
        <v>58.155739051734948</v>
      </c>
      <c r="S238" s="16" t="e">
        <f t="shared" si="31"/>
        <v>#VALUE!</v>
      </c>
      <c r="T238" s="17">
        <f t="shared" si="31"/>
        <v>5.4371593678233143</v>
      </c>
      <c r="Y238" s="4"/>
    </row>
    <row r="239" spans="1:25" ht="78.75" x14ac:dyDescent="0.2">
      <c r="A239" s="63" t="s">
        <v>284</v>
      </c>
      <c r="B239" s="65">
        <v>28161263.279228002</v>
      </c>
      <c r="C239" s="65">
        <v>15886785.707952</v>
      </c>
      <c r="D239" s="65">
        <v>2127239.7183338599</v>
      </c>
      <c r="E239" s="65">
        <v>1034942.18803</v>
      </c>
      <c r="F239" s="66">
        <f t="shared" ref="F239:F248" si="36">SUM(B239:E239)</f>
        <v>47210230.893543862</v>
      </c>
      <c r="G239" s="67">
        <v>85</v>
      </c>
      <c r="H239" s="68" t="s">
        <v>19</v>
      </c>
      <c r="I239" s="64">
        <f t="shared" si="35"/>
        <v>555414.48110051604</v>
      </c>
      <c r="J239" s="64">
        <v>55364364.576529205</v>
      </c>
      <c r="K239" s="64">
        <v>18118255.842754126</v>
      </c>
      <c r="L239" s="64">
        <v>9172273.1651499309</v>
      </c>
      <c r="M239" s="64">
        <v>1476017.45551997</v>
      </c>
      <c r="N239" s="64">
        <f t="shared" si="34"/>
        <v>84130911.039953232</v>
      </c>
      <c r="O239" s="64">
        <v>103</v>
      </c>
      <c r="P239" s="68" t="s">
        <v>19</v>
      </c>
      <c r="Q239" s="64">
        <f t="shared" si="32"/>
        <v>816804.96155294403</v>
      </c>
      <c r="R239" s="83">
        <f t="shared" si="30"/>
        <v>78.204828588242265</v>
      </c>
      <c r="S239" s="16" t="e">
        <f t="shared" si="31"/>
        <v>#VALUE!</v>
      </c>
      <c r="T239" s="17">
        <f t="shared" si="31"/>
        <v>47.062237184471769</v>
      </c>
    </row>
    <row r="240" spans="1:25" ht="78.75" x14ac:dyDescent="0.2">
      <c r="A240" s="63" t="s">
        <v>285</v>
      </c>
      <c r="B240" s="65">
        <v>8267229.3096110001</v>
      </c>
      <c r="C240" s="65">
        <v>20077493.367040999</v>
      </c>
      <c r="D240" s="65">
        <v>272181.2561385</v>
      </c>
      <c r="E240" s="65">
        <v>88312.994042000006</v>
      </c>
      <c r="F240" s="66">
        <f t="shared" si="36"/>
        <v>28705216.926832501</v>
      </c>
      <c r="G240" s="67">
        <v>5978</v>
      </c>
      <c r="H240" s="68" t="s">
        <v>29</v>
      </c>
      <c r="I240" s="64">
        <f t="shared" si="35"/>
        <v>4801.8094558100538</v>
      </c>
      <c r="J240" s="64">
        <v>12508876.609997999</v>
      </c>
      <c r="K240" s="64">
        <v>14846478.364899</v>
      </c>
      <c r="L240" s="64">
        <v>313656.82524099998</v>
      </c>
      <c r="M240" s="64">
        <v>462723.44165000005</v>
      </c>
      <c r="N240" s="64">
        <f t="shared" si="34"/>
        <v>28131735.241787996</v>
      </c>
      <c r="O240" s="64">
        <v>5846</v>
      </c>
      <c r="P240" s="68" t="s">
        <v>29</v>
      </c>
      <c r="Q240" s="64">
        <f t="shared" si="32"/>
        <v>4812.133979094765</v>
      </c>
      <c r="R240" s="83">
        <f t="shared" si="30"/>
        <v>-1.9978308699295586</v>
      </c>
      <c r="S240" s="16" t="e">
        <f t="shared" si="31"/>
        <v>#VALUE!</v>
      </c>
      <c r="T240" s="17">
        <f t="shared" si="31"/>
        <v>0.21501318158759497</v>
      </c>
    </row>
    <row r="241" spans="1:20" ht="47.25" x14ac:dyDescent="0.2">
      <c r="A241" s="63" t="s">
        <v>286</v>
      </c>
      <c r="B241" s="65">
        <v>1014881.0034430027</v>
      </c>
      <c r="C241" s="65">
        <v>1752340.4879370034</v>
      </c>
      <c r="D241" s="65">
        <v>1173386.2307707099</v>
      </c>
      <c r="E241" s="65">
        <v>3414842.7671405999</v>
      </c>
      <c r="F241" s="66">
        <f t="shared" si="36"/>
        <v>7355450.4892913159</v>
      </c>
      <c r="G241" s="67">
        <v>43</v>
      </c>
      <c r="H241" s="68" t="s">
        <v>38</v>
      </c>
      <c r="I241" s="64">
        <f t="shared" si="35"/>
        <v>171056.98812305386</v>
      </c>
      <c r="J241" s="64">
        <v>1770581.54</v>
      </c>
      <c r="K241" s="64">
        <v>1436245.17</v>
      </c>
      <c r="L241" s="64">
        <v>1124850.1200000001</v>
      </c>
      <c r="M241" s="64">
        <v>3598179.27</v>
      </c>
      <c r="N241" s="64">
        <f t="shared" si="34"/>
        <v>7929856.0999999996</v>
      </c>
      <c r="O241" s="64">
        <v>52</v>
      </c>
      <c r="P241" s="68" t="s">
        <v>38</v>
      </c>
      <c r="Q241" s="64">
        <f t="shared" si="32"/>
        <v>152497.23269230768</v>
      </c>
      <c r="R241" s="83">
        <f t="shared" si="30"/>
        <v>7.8092512694491214</v>
      </c>
      <c r="S241" s="16" t="e">
        <f t="shared" si="31"/>
        <v>#VALUE!</v>
      </c>
      <c r="T241" s="17">
        <f t="shared" si="31"/>
        <v>-10.850042219494</v>
      </c>
    </row>
    <row r="242" spans="1:20" x14ac:dyDescent="0.2">
      <c r="A242" s="63" t="s">
        <v>287</v>
      </c>
      <c r="B242" s="65">
        <v>5604582.6875339998</v>
      </c>
      <c r="C242" s="65">
        <v>2284718.6990179997</v>
      </c>
      <c r="D242" s="65">
        <v>347716.95928607002</v>
      </c>
      <c r="E242" s="65">
        <v>225580.92501959999</v>
      </c>
      <c r="F242" s="66">
        <f t="shared" si="36"/>
        <v>8462599.2708576694</v>
      </c>
      <c r="G242" s="72">
        <v>4225</v>
      </c>
      <c r="H242" s="68" t="s">
        <v>288</v>
      </c>
      <c r="I242" s="64">
        <f t="shared" si="35"/>
        <v>2002.9820759426436</v>
      </c>
      <c r="J242" s="64">
        <v>7663285.1264999993</v>
      </c>
      <c r="K242" s="64">
        <v>2526076.1261349996</v>
      </c>
      <c r="L242" s="64">
        <v>551705.64714399993</v>
      </c>
      <c r="M242" s="64">
        <v>414883.50427000003</v>
      </c>
      <c r="N242" s="64">
        <f t="shared" si="34"/>
        <v>11155950.404048998</v>
      </c>
      <c r="O242" s="64">
        <v>4534</v>
      </c>
      <c r="P242" s="64" t="s">
        <v>288</v>
      </c>
      <c r="Q242" s="64">
        <f>N242/O242</f>
        <v>2460.5095730147768</v>
      </c>
      <c r="R242" s="26">
        <f t="shared" si="30"/>
        <v>31.826523352775538</v>
      </c>
      <c r="S242" s="27" t="e">
        <f t="shared" si="31"/>
        <v>#VALUE!</v>
      </c>
      <c r="T242" s="28">
        <f t="shared" si="31"/>
        <v>22.842316092959123</v>
      </c>
    </row>
    <row r="243" spans="1:20" x14ac:dyDescent="0.2">
      <c r="A243" s="63" t="s">
        <v>289</v>
      </c>
      <c r="B243" s="65">
        <v>35142301.766223997</v>
      </c>
      <c r="C243" s="65">
        <v>6520606.3037909996</v>
      </c>
      <c r="D243" s="65">
        <v>313098.19757906994</v>
      </c>
      <c r="E243" s="65">
        <v>284371.63477159996</v>
      </c>
      <c r="F243" s="66">
        <f t="shared" si="36"/>
        <v>42260377.90236567</v>
      </c>
      <c r="G243" s="72">
        <v>1002</v>
      </c>
      <c r="H243" s="68" t="s">
        <v>288</v>
      </c>
      <c r="I243" s="64">
        <f t="shared" si="35"/>
        <v>42176.025850664344</v>
      </c>
      <c r="J243" s="64">
        <v>38624568.219999999</v>
      </c>
      <c r="K243" s="64">
        <v>7846290.4699999997</v>
      </c>
      <c r="L243" s="64">
        <v>456932.05</v>
      </c>
      <c r="M243" s="64">
        <v>279564.67</v>
      </c>
      <c r="N243" s="64">
        <f t="shared" si="34"/>
        <v>47207355.409999996</v>
      </c>
      <c r="O243" s="64">
        <v>1076</v>
      </c>
      <c r="P243" s="64" t="s">
        <v>288</v>
      </c>
      <c r="Q243" s="64">
        <f>N243/O243</f>
        <v>43873.006886617099</v>
      </c>
      <c r="R243" s="26">
        <f t="shared" si="30"/>
        <v>11.705947161815141</v>
      </c>
      <c r="S243" s="27" t="e">
        <f t="shared" si="31"/>
        <v>#VALUE!</v>
      </c>
      <c r="T243" s="28">
        <f t="shared" si="31"/>
        <v>4.0235678960397463</v>
      </c>
    </row>
    <row r="244" spans="1:20" ht="47.25" x14ac:dyDescent="0.2">
      <c r="A244" s="63" t="s">
        <v>290</v>
      </c>
      <c r="B244" s="65">
        <v>5526233.5230109999</v>
      </c>
      <c r="C244" s="65">
        <v>2492660.4156849999</v>
      </c>
      <c r="D244" s="65">
        <v>201413.20393909997</v>
      </c>
      <c r="E244" s="65">
        <v>244480.92190000002</v>
      </c>
      <c r="F244" s="66">
        <f t="shared" si="36"/>
        <v>8464788.0645351</v>
      </c>
      <c r="G244" s="72">
        <v>493</v>
      </c>
      <c r="H244" s="68" t="s">
        <v>288</v>
      </c>
      <c r="I244" s="64">
        <f t="shared" si="35"/>
        <v>17169.955506156388</v>
      </c>
      <c r="J244" s="64">
        <v>5619732.0977370003</v>
      </c>
      <c r="K244" s="64">
        <v>1857488.5475270001</v>
      </c>
      <c r="L244" s="64">
        <v>430717.46136800008</v>
      </c>
      <c r="M244" s="64">
        <v>902669.50835700007</v>
      </c>
      <c r="N244" s="64">
        <f t="shared" si="34"/>
        <v>8810607.6149890013</v>
      </c>
      <c r="O244" s="64">
        <v>490</v>
      </c>
      <c r="P244" s="64" t="s">
        <v>288</v>
      </c>
      <c r="Q244" s="64">
        <f>N244/O244</f>
        <v>17980.831867324494</v>
      </c>
      <c r="R244" s="26">
        <f t="shared" si="30"/>
        <v>4.0853893543156801</v>
      </c>
      <c r="S244" s="27" t="e">
        <f t="shared" si="31"/>
        <v>#VALUE!</v>
      </c>
      <c r="T244" s="28">
        <f t="shared" si="31"/>
        <v>4.7226468401584478</v>
      </c>
    </row>
    <row r="245" spans="1:20" ht="47.25" x14ac:dyDescent="0.2">
      <c r="A245" s="63" t="s">
        <v>291</v>
      </c>
      <c r="B245" s="65">
        <v>532616.26789000002</v>
      </c>
      <c r="C245" s="65">
        <v>86432.582627999989</v>
      </c>
      <c r="D245" s="65">
        <v>57147.377972999995</v>
      </c>
      <c r="E245" s="65">
        <v>24140.289614000001</v>
      </c>
      <c r="F245" s="66">
        <f t="shared" si="36"/>
        <v>700336.51810499991</v>
      </c>
      <c r="G245" s="93">
        <v>5</v>
      </c>
      <c r="H245" s="94" t="s">
        <v>19</v>
      </c>
      <c r="I245" s="64">
        <f t="shared" si="35"/>
        <v>140067.30362099997</v>
      </c>
      <c r="J245" s="294" t="s">
        <v>27</v>
      </c>
      <c r="K245" s="295"/>
      <c r="L245" s="295"/>
      <c r="M245" s="295"/>
      <c r="N245" s="295"/>
      <c r="O245" s="295"/>
      <c r="P245" s="295"/>
      <c r="Q245" s="296"/>
      <c r="R245" s="26">
        <f t="shared" si="30"/>
        <v>-100</v>
      </c>
      <c r="S245" s="27" t="e">
        <f t="shared" si="31"/>
        <v>#VALUE!</v>
      </c>
      <c r="T245" s="28">
        <f t="shared" si="31"/>
        <v>-100</v>
      </c>
    </row>
    <row r="246" spans="1:20" ht="63" x14ac:dyDescent="0.2">
      <c r="A246" s="63" t="s">
        <v>292</v>
      </c>
      <c r="B246" s="65">
        <v>203546.80494400003</v>
      </c>
      <c r="C246" s="65">
        <v>74095.745471999995</v>
      </c>
      <c r="D246" s="65">
        <v>24929.805935999997</v>
      </c>
      <c r="E246" s="65">
        <v>2336.7701840000004</v>
      </c>
      <c r="F246" s="66">
        <f t="shared" si="36"/>
        <v>304909.12653600005</v>
      </c>
      <c r="G246" s="93">
        <v>3</v>
      </c>
      <c r="H246" s="94" t="s">
        <v>38</v>
      </c>
      <c r="I246" s="64">
        <f t="shared" si="35"/>
        <v>101636.37551200001</v>
      </c>
      <c r="J246" s="294" t="s">
        <v>27</v>
      </c>
      <c r="K246" s="295"/>
      <c r="L246" s="295"/>
      <c r="M246" s="295"/>
      <c r="N246" s="295"/>
      <c r="O246" s="295"/>
      <c r="P246" s="295"/>
      <c r="Q246" s="296"/>
      <c r="R246" s="26">
        <f t="shared" si="30"/>
        <v>-100</v>
      </c>
      <c r="S246" s="27" t="e">
        <f t="shared" si="31"/>
        <v>#VALUE!</v>
      </c>
      <c r="T246" s="28">
        <f t="shared" si="31"/>
        <v>-100</v>
      </c>
    </row>
    <row r="247" spans="1:20" ht="47.25" x14ac:dyDescent="0.2">
      <c r="A247" s="63" t="s">
        <v>293</v>
      </c>
      <c r="B247" s="65">
        <v>203546.80494400003</v>
      </c>
      <c r="C247" s="65">
        <v>74095.745471999995</v>
      </c>
      <c r="D247" s="65">
        <v>24929.805935999997</v>
      </c>
      <c r="E247" s="65">
        <v>2336.7701840000004</v>
      </c>
      <c r="F247" s="66">
        <f t="shared" si="36"/>
        <v>304909.12653600005</v>
      </c>
      <c r="G247" s="93">
        <v>2</v>
      </c>
      <c r="H247" s="94" t="s">
        <v>19</v>
      </c>
      <c r="I247" s="64">
        <f t="shared" si="35"/>
        <v>152454.56326800003</v>
      </c>
      <c r="J247" s="294" t="s">
        <v>27</v>
      </c>
      <c r="K247" s="295"/>
      <c r="L247" s="295"/>
      <c r="M247" s="295"/>
      <c r="N247" s="295"/>
      <c r="O247" s="295"/>
      <c r="P247" s="295"/>
      <c r="Q247" s="296"/>
      <c r="R247" s="26">
        <f t="shared" si="30"/>
        <v>-100</v>
      </c>
      <c r="S247" s="27" t="e">
        <f t="shared" si="31"/>
        <v>#VALUE!</v>
      </c>
      <c r="T247" s="28">
        <f t="shared" si="31"/>
        <v>-100</v>
      </c>
    </row>
    <row r="248" spans="1:20" ht="47.25" x14ac:dyDescent="0.2">
      <c r="A248" s="63" t="s">
        <v>294</v>
      </c>
      <c r="B248" s="65">
        <v>7304474.4333149996</v>
      </c>
      <c r="C248" s="65">
        <v>1356084.482596</v>
      </c>
      <c r="D248" s="65">
        <v>489740.99647130002</v>
      </c>
      <c r="E248" s="65">
        <v>436259.83091099997</v>
      </c>
      <c r="F248" s="66">
        <f t="shared" si="36"/>
        <v>9586559.7432933003</v>
      </c>
      <c r="G248" s="93">
        <v>2</v>
      </c>
      <c r="H248" s="94" t="s">
        <v>19</v>
      </c>
      <c r="I248" s="64">
        <f t="shared" si="35"/>
        <v>4793279.8716466501</v>
      </c>
      <c r="J248" s="294" t="s">
        <v>27</v>
      </c>
      <c r="K248" s="295"/>
      <c r="L248" s="295"/>
      <c r="M248" s="295"/>
      <c r="N248" s="295"/>
      <c r="O248" s="295"/>
      <c r="P248" s="295"/>
      <c r="Q248" s="296"/>
      <c r="R248" s="26">
        <f t="shared" si="30"/>
        <v>-100</v>
      </c>
      <c r="S248" s="27" t="e">
        <f t="shared" si="31"/>
        <v>#VALUE!</v>
      </c>
      <c r="T248" s="28">
        <f t="shared" si="31"/>
        <v>-100</v>
      </c>
    </row>
    <row r="249" spans="1:20" ht="63" x14ac:dyDescent="0.2">
      <c r="A249" s="63" t="s">
        <v>295</v>
      </c>
      <c r="B249" s="65">
        <v>13122363.947756998</v>
      </c>
      <c r="C249" s="65">
        <v>2123884.16457</v>
      </c>
      <c r="D249" s="65">
        <v>896818.16138294549</v>
      </c>
      <c r="E249" s="65">
        <v>974462.71680579998</v>
      </c>
      <c r="F249" s="66">
        <v>17117528.990515746</v>
      </c>
      <c r="G249" s="93">
        <v>1</v>
      </c>
      <c r="H249" s="94" t="s">
        <v>19</v>
      </c>
      <c r="I249" s="64">
        <f t="shared" si="35"/>
        <v>17117528.990515746</v>
      </c>
      <c r="J249" s="294" t="s">
        <v>27</v>
      </c>
      <c r="K249" s="295"/>
      <c r="L249" s="295"/>
      <c r="M249" s="295"/>
      <c r="N249" s="295"/>
      <c r="O249" s="295"/>
      <c r="P249" s="295"/>
      <c r="Q249" s="296"/>
      <c r="R249" s="26">
        <f t="shared" si="30"/>
        <v>-100</v>
      </c>
      <c r="S249" s="27" t="e">
        <f t="shared" si="31"/>
        <v>#VALUE!</v>
      </c>
      <c r="T249" s="28">
        <f t="shared" si="31"/>
        <v>-100</v>
      </c>
    </row>
    <row r="250" spans="1:20" ht="47.25" x14ac:dyDescent="0.2">
      <c r="A250" s="63" t="s">
        <v>296</v>
      </c>
      <c r="B250" s="65">
        <v>6018793.1496590003</v>
      </c>
      <c r="C250" s="65">
        <v>954711.469086</v>
      </c>
      <c r="D250" s="65">
        <v>488859.89015890122</v>
      </c>
      <c r="E250" s="65">
        <v>464003.76870199997</v>
      </c>
      <c r="F250" s="66">
        <f>SUM(B250:E250)</f>
        <v>7926368.2776059015</v>
      </c>
      <c r="G250" s="93">
        <v>5</v>
      </c>
      <c r="H250" s="94" t="s">
        <v>38</v>
      </c>
      <c r="I250" s="64">
        <f t="shared" si="35"/>
        <v>1585273.6555211802</v>
      </c>
      <c r="J250" s="294" t="s">
        <v>27</v>
      </c>
      <c r="K250" s="295"/>
      <c r="L250" s="295"/>
      <c r="M250" s="295"/>
      <c r="N250" s="295"/>
      <c r="O250" s="295"/>
      <c r="P250" s="295"/>
      <c r="Q250" s="296"/>
      <c r="R250" s="26">
        <f t="shared" si="30"/>
        <v>-100</v>
      </c>
      <c r="S250" s="27" t="e">
        <f t="shared" si="31"/>
        <v>#VALUE!</v>
      </c>
      <c r="T250" s="28">
        <f t="shared" si="31"/>
        <v>-100</v>
      </c>
    </row>
    <row r="251" spans="1:20" ht="47.25" x14ac:dyDescent="0.2">
      <c r="A251" s="63" t="s">
        <v>297</v>
      </c>
      <c r="B251" s="65">
        <v>6146736.316846</v>
      </c>
      <c r="C251" s="65">
        <v>1111373.3909839999</v>
      </c>
      <c r="D251" s="65">
        <v>383817.43318899994</v>
      </c>
      <c r="E251" s="65">
        <v>426756.65788199997</v>
      </c>
      <c r="F251" s="66">
        <f>SUM(B251:E251)</f>
        <v>8068683.7989010001</v>
      </c>
      <c r="G251" s="93">
        <v>2</v>
      </c>
      <c r="H251" s="94" t="s">
        <v>19</v>
      </c>
      <c r="I251" s="64">
        <f t="shared" si="35"/>
        <v>4034341.8994505</v>
      </c>
      <c r="J251" s="294" t="s">
        <v>27</v>
      </c>
      <c r="K251" s="295"/>
      <c r="L251" s="295"/>
      <c r="M251" s="295"/>
      <c r="N251" s="295"/>
      <c r="O251" s="295"/>
      <c r="P251" s="295"/>
      <c r="Q251" s="296"/>
      <c r="R251" s="26">
        <f t="shared" si="30"/>
        <v>-100</v>
      </c>
      <c r="S251" s="27" t="e">
        <f t="shared" si="31"/>
        <v>#VALUE!</v>
      </c>
      <c r="T251" s="28">
        <f t="shared" si="31"/>
        <v>-100</v>
      </c>
    </row>
    <row r="252" spans="1:20" ht="47.25" x14ac:dyDescent="0.2">
      <c r="A252" s="63" t="s">
        <v>298</v>
      </c>
      <c r="B252" s="65">
        <v>914913.35903800011</v>
      </c>
      <c r="C252" s="65">
        <v>128939.74818899999</v>
      </c>
      <c r="D252" s="65">
        <v>83553.421778000004</v>
      </c>
      <c r="E252" s="65">
        <v>46583.990184000009</v>
      </c>
      <c r="F252" s="66">
        <f>SUM(B252:E252)</f>
        <v>1173990.5191890001</v>
      </c>
      <c r="G252" s="72">
        <v>2</v>
      </c>
      <c r="H252" s="68" t="s">
        <v>19</v>
      </c>
      <c r="I252" s="64">
        <f t="shared" si="35"/>
        <v>586995.25959450006</v>
      </c>
      <c r="J252" s="294" t="s">
        <v>27</v>
      </c>
      <c r="K252" s="295"/>
      <c r="L252" s="295"/>
      <c r="M252" s="295"/>
      <c r="N252" s="295"/>
      <c r="O252" s="295"/>
      <c r="P252" s="295"/>
      <c r="Q252" s="296"/>
      <c r="R252" s="26">
        <f t="shared" si="30"/>
        <v>-100</v>
      </c>
      <c r="S252" s="27" t="e">
        <f t="shared" si="31"/>
        <v>#VALUE!</v>
      </c>
      <c r="T252" s="28">
        <f t="shared" si="31"/>
        <v>-100</v>
      </c>
    </row>
    <row r="253" spans="1:20" s="101" customFormat="1" ht="19.5" thickBot="1" x14ac:dyDescent="0.3">
      <c r="A253" s="95" t="s">
        <v>299</v>
      </c>
      <c r="B253" s="96">
        <f>SUM(B7:B252)</f>
        <v>3391792435.2355542</v>
      </c>
      <c r="C253" s="96">
        <f>SUM(C7:C252)</f>
        <v>1538323323.0944815</v>
      </c>
      <c r="D253" s="96">
        <f>SUM(D7:D252)</f>
        <v>228581101.54844859</v>
      </c>
      <c r="E253" s="96">
        <f>SUM(E7:E252)</f>
        <v>314959196.53695345</v>
      </c>
      <c r="F253" s="96">
        <f>SUM(F7:F252)</f>
        <v>5473656056.4154425</v>
      </c>
      <c r="G253" s="97"/>
      <c r="H253" s="97"/>
      <c r="I253" s="97"/>
      <c r="J253" s="96">
        <f>SUM(J7:J252)</f>
        <v>3306305065.6823859</v>
      </c>
      <c r="K253" s="96">
        <f>SUM(K7:K252)</f>
        <v>1479578875.0918961</v>
      </c>
      <c r="L253" s="96">
        <f>SUM(L7:L252)</f>
        <v>223072236.95333433</v>
      </c>
      <c r="M253" s="96">
        <f>SUM(M7:M252)</f>
        <v>307037072.45488584</v>
      </c>
      <c r="N253" s="96">
        <f>SUM(N7:N252)</f>
        <v>5315993250.1825056</v>
      </c>
      <c r="O253" s="97"/>
      <c r="P253" s="97"/>
      <c r="Q253" s="97"/>
      <c r="R253" s="98"/>
      <c r="S253" s="99"/>
      <c r="T253" s="100"/>
    </row>
    <row r="254" spans="1:20" ht="16.5" thickTop="1" x14ac:dyDescent="0.2">
      <c r="G254" s="102"/>
      <c r="I254" s="103"/>
      <c r="J254" s="103"/>
      <c r="K254" s="103"/>
      <c r="L254" s="103"/>
      <c r="M254" s="103"/>
      <c r="N254" s="103"/>
      <c r="O254" s="103"/>
      <c r="P254" s="103"/>
      <c r="Q254" s="103"/>
      <c r="R254" s="103"/>
      <c r="S254" s="104"/>
      <c r="T254" s="105"/>
    </row>
  </sheetData>
  <mergeCells count="129">
    <mergeCell ref="A1:S1"/>
    <mergeCell ref="R4:T4"/>
    <mergeCell ref="B5:I5"/>
    <mergeCell ref="J5:Q5"/>
    <mergeCell ref="R5:T5"/>
    <mergeCell ref="B13:I13"/>
    <mergeCell ref="J13:Q13"/>
    <mergeCell ref="B25:I25"/>
    <mergeCell ref="J26:Q26"/>
    <mergeCell ref="J27:Q27"/>
    <mergeCell ref="J28:Q28"/>
    <mergeCell ref="J29:Q29"/>
    <mergeCell ref="J30:Q30"/>
    <mergeCell ref="J17:Q17"/>
    <mergeCell ref="J19:Q19"/>
    <mergeCell ref="B21:I21"/>
    <mergeCell ref="B22:I22"/>
    <mergeCell ref="B23:I23"/>
    <mergeCell ref="B24:I24"/>
    <mergeCell ref="B37:I37"/>
    <mergeCell ref="B38:I38"/>
    <mergeCell ref="B39:I39"/>
    <mergeCell ref="B40:I40"/>
    <mergeCell ref="J41:Q41"/>
    <mergeCell ref="J42:Q42"/>
    <mergeCell ref="B31:I31"/>
    <mergeCell ref="B32:I32"/>
    <mergeCell ref="B33:I33"/>
    <mergeCell ref="B34:I34"/>
    <mergeCell ref="B35:I35"/>
    <mergeCell ref="J36:Q36"/>
    <mergeCell ref="J48:Q48"/>
    <mergeCell ref="J50:Q50"/>
    <mergeCell ref="J57:Q57"/>
    <mergeCell ref="J58:Q58"/>
    <mergeCell ref="J72:Q72"/>
    <mergeCell ref="J88:Q88"/>
    <mergeCell ref="B43:I43"/>
    <mergeCell ref="J43:Q43"/>
    <mergeCell ref="J44:Q44"/>
    <mergeCell ref="J45:Q45"/>
    <mergeCell ref="J46:Q46"/>
    <mergeCell ref="J47:Q47"/>
    <mergeCell ref="J126:Q126"/>
    <mergeCell ref="J127:Q127"/>
    <mergeCell ref="J128:Q128"/>
    <mergeCell ref="B129:I129"/>
    <mergeCell ref="B130:I130"/>
    <mergeCell ref="B131:I131"/>
    <mergeCell ref="J105:Q105"/>
    <mergeCell ref="J118:Q118"/>
    <mergeCell ref="B119:I119"/>
    <mergeCell ref="J123:Q123"/>
    <mergeCell ref="B124:I124"/>
    <mergeCell ref="J125:Q125"/>
    <mergeCell ref="B142:I142"/>
    <mergeCell ref="J143:Q143"/>
    <mergeCell ref="B144:I144"/>
    <mergeCell ref="J145:Q145"/>
    <mergeCell ref="J146:Q146"/>
    <mergeCell ref="J147:Q147"/>
    <mergeCell ref="J136:Q136"/>
    <mergeCell ref="B137:I137"/>
    <mergeCell ref="B138:I138"/>
    <mergeCell ref="B139:I139"/>
    <mergeCell ref="B140:I140"/>
    <mergeCell ref="B141:I141"/>
    <mergeCell ref="J155:Q155"/>
    <mergeCell ref="J156:Q156"/>
    <mergeCell ref="J157:Q157"/>
    <mergeCell ref="B159:I159"/>
    <mergeCell ref="B160:I160"/>
    <mergeCell ref="J161:Q161"/>
    <mergeCell ref="B149:I149"/>
    <mergeCell ref="B150:I150"/>
    <mergeCell ref="B151:I151"/>
    <mergeCell ref="J152:Q152"/>
    <mergeCell ref="B153:I153"/>
    <mergeCell ref="J154:Q154"/>
    <mergeCell ref="J168:Q168"/>
    <mergeCell ref="J169:Q169"/>
    <mergeCell ref="J174:Q174"/>
    <mergeCell ref="B175:I175"/>
    <mergeCell ref="B180:I180"/>
    <mergeCell ref="B181:I181"/>
    <mergeCell ref="B162:I162"/>
    <mergeCell ref="B163:I163"/>
    <mergeCell ref="B164:I164"/>
    <mergeCell ref="B165:I165"/>
    <mergeCell ref="J166:Q166"/>
    <mergeCell ref="J167:Q167"/>
    <mergeCell ref="B188:I188"/>
    <mergeCell ref="B189:I189"/>
    <mergeCell ref="B190:I190"/>
    <mergeCell ref="B191:I191"/>
    <mergeCell ref="B192:I192"/>
    <mergeCell ref="B193:I193"/>
    <mergeCell ref="B182:I182"/>
    <mergeCell ref="B183:I183"/>
    <mergeCell ref="B184:I184"/>
    <mergeCell ref="B185:I185"/>
    <mergeCell ref="B186:I186"/>
    <mergeCell ref="B187:I187"/>
    <mergeCell ref="J200:Q200"/>
    <mergeCell ref="J201:Q201"/>
    <mergeCell ref="J202:Q202"/>
    <mergeCell ref="B203:I203"/>
    <mergeCell ref="J205:Q205"/>
    <mergeCell ref="B206:I206"/>
    <mergeCell ref="B194:I194"/>
    <mergeCell ref="B195:I195"/>
    <mergeCell ref="B196:I196"/>
    <mergeCell ref="J197:Q197"/>
    <mergeCell ref="B198:I198"/>
    <mergeCell ref="J199:Q199"/>
    <mergeCell ref="J251:Q251"/>
    <mergeCell ref="J252:Q252"/>
    <mergeCell ref="J245:Q245"/>
    <mergeCell ref="J246:Q246"/>
    <mergeCell ref="J247:Q247"/>
    <mergeCell ref="J248:Q248"/>
    <mergeCell ref="J249:Q249"/>
    <mergeCell ref="J250:Q250"/>
    <mergeCell ref="B207:I207"/>
    <mergeCell ref="B210:I210"/>
    <mergeCell ref="B211:I211"/>
    <mergeCell ref="B216:I216"/>
    <mergeCell ref="B217:I217"/>
    <mergeCell ref="B218:I218"/>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3" sqref="A13"/>
    </sheetView>
  </sheetViews>
  <sheetFormatPr defaultRowHeight="13.5" x14ac:dyDescent="0.2"/>
  <cols>
    <col min="1" max="1" width="141.125" style="293" customWidth="1"/>
    <col min="2" max="2" width="97.25" style="293" customWidth="1"/>
    <col min="3" max="256" width="9" style="108"/>
    <col min="257" max="257" width="141.125" style="108" customWidth="1"/>
    <col min="258" max="258" width="97.25" style="108" customWidth="1"/>
    <col min="259" max="512" width="9" style="108"/>
    <col min="513" max="513" width="141.125" style="108" customWidth="1"/>
    <col min="514" max="514" width="97.25" style="108" customWidth="1"/>
    <col min="515" max="768" width="9" style="108"/>
    <col min="769" max="769" width="141.125" style="108" customWidth="1"/>
    <col min="770" max="770" width="97.25" style="108" customWidth="1"/>
    <col min="771" max="1024" width="9" style="108"/>
    <col min="1025" max="1025" width="141.125" style="108" customWidth="1"/>
    <col min="1026" max="1026" width="97.25" style="108" customWidth="1"/>
    <col min="1027" max="1280" width="9" style="108"/>
    <col min="1281" max="1281" width="141.125" style="108" customWidth="1"/>
    <col min="1282" max="1282" width="97.25" style="108" customWidth="1"/>
    <col min="1283" max="1536" width="9" style="108"/>
    <col min="1537" max="1537" width="141.125" style="108" customWidth="1"/>
    <col min="1538" max="1538" width="97.25" style="108" customWidth="1"/>
    <col min="1539" max="1792" width="9" style="108"/>
    <col min="1793" max="1793" width="141.125" style="108" customWidth="1"/>
    <col min="1794" max="1794" width="97.25" style="108" customWidth="1"/>
    <col min="1795" max="2048" width="9" style="108"/>
    <col min="2049" max="2049" width="141.125" style="108" customWidth="1"/>
    <col min="2050" max="2050" width="97.25" style="108" customWidth="1"/>
    <col min="2051" max="2304" width="9" style="108"/>
    <col min="2305" max="2305" width="141.125" style="108" customWidth="1"/>
    <col min="2306" max="2306" width="97.25" style="108" customWidth="1"/>
    <col min="2307" max="2560" width="9" style="108"/>
    <col min="2561" max="2561" width="141.125" style="108" customWidth="1"/>
    <col min="2562" max="2562" width="97.25" style="108" customWidth="1"/>
    <col min="2563" max="2816" width="9" style="108"/>
    <col min="2817" max="2817" width="141.125" style="108" customWidth="1"/>
    <col min="2818" max="2818" width="97.25" style="108" customWidth="1"/>
    <col min="2819" max="3072" width="9" style="108"/>
    <col min="3073" max="3073" width="141.125" style="108" customWidth="1"/>
    <col min="3074" max="3074" width="97.25" style="108" customWidth="1"/>
    <col min="3075" max="3328" width="9" style="108"/>
    <col min="3329" max="3329" width="141.125" style="108" customWidth="1"/>
    <col min="3330" max="3330" width="97.25" style="108" customWidth="1"/>
    <col min="3331" max="3584" width="9" style="108"/>
    <col min="3585" max="3585" width="141.125" style="108" customWidth="1"/>
    <col min="3586" max="3586" width="97.25" style="108" customWidth="1"/>
    <col min="3587" max="3840" width="9" style="108"/>
    <col min="3841" max="3841" width="141.125" style="108" customWidth="1"/>
    <col min="3842" max="3842" width="97.25" style="108" customWidth="1"/>
    <col min="3843" max="4096" width="9" style="108"/>
    <col min="4097" max="4097" width="141.125" style="108" customWidth="1"/>
    <col min="4098" max="4098" width="97.25" style="108" customWidth="1"/>
    <col min="4099" max="4352" width="9" style="108"/>
    <col min="4353" max="4353" width="141.125" style="108" customWidth="1"/>
    <col min="4354" max="4354" width="97.25" style="108" customWidth="1"/>
    <col min="4355" max="4608" width="9" style="108"/>
    <col min="4609" max="4609" width="141.125" style="108" customWidth="1"/>
    <col min="4610" max="4610" width="97.25" style="108" customWidth="1"/>
    <col min="4611" max="4864" width="9" style="108"/>
    <col min="4865" max="4865" width="141.125" style="108" customWidth="1"/>
    <col min="4866" max="4866" width="97.25" style="108" customWidth="1"/>
    <col min="4867" max="5120" width="9" style="108"/>
    <col min="5121" max="5121" width="141.125" style="108" customWidth="1"/>
    <col min="5122" max="5122" width="97.25" style="108" customWidth="1"/>
    <col min="5123" max="5376" width="9" style="108"/>
    <col min="5377" max="5377" width="141.125" style="108" customWidth="1"/>
    <col min="5378" max="5378" width="97.25" style="108" customWidth="1"/>
    <col min="5379" max="5632" width="9" style="108"/>
    <col min="5633" max="5633" width="141.125" style="108" customWidth="1"/>
    <col min="5634" max="5634" width="97.25" style="108" customWidth="1"/>
    <col min="5635" max="5888" width="9" style="108"/>
    <col min="5889" max="5889" width="141.125" style="108" customWidth="1"/>
    <col min="5890" max="5890" width="97.25" style="108" customWidth="1"/>
    <col min="5891" max="6144" width="9" style="108"/>
    <col min="6145" max="6145" width="141.125" style="108" customWidth="1"/>
    <col min="6146" max="6146" width="97.25" style="108" customWidth="1"/>
    <col min="6147" max="6400" width="9" style="108"/>
    <col min="6401" max="6401" width="141.125" style="108" customWidth="1"/>
    <col min="6402" max="6402" width="97.25" style="108" customWidth="1"/>
    <col min="6403" max="6656" width="9" style="108"/>
    <col min="6657" max="6657" width="141.125" style="108" customWidth="1"/>
    <col min="6658" max="6658" width="97.25" style="108" customWidth="1"/>
    <col min="6659" max="6912" width="9" style="108"/>
    <col min="6913" max="6913" width="141.125" style="108" customWidth="1"/>
    <col min="6914" max="6914" width="97.25" style="108" customWidth="1"/>
    <col min="6915" max="7168" width="9" style="108"/>
    <col min="7169" max="7169" width="141.125" style="108" customWidth="1"/>
    <col min="7170" max="7170" width="97.25" style="108" customWidth="1"/>
    <col min="7171" max="7424" width="9" style="108"/>
    <col min="7425" max="7425" width="141.125" style="108" customWidth="1"/>
    <col min="7426" max="7426" width="97.25" style="108" customWidth="1"/>
    <col min="7427" max="7680" width="9" style="108"/>
    <col min="7681" max="7681" width="141.125" style="108" customWidth="1"/>
    <col min="7682" max="7682" width="97.25" style="108" customWidth="1"/>
    <col min="7683" max="7936" width="9" style="108"/>
    <col min="7937" max="7937" width="141.125" style="108" customWidth="1"/>
    <col min="7938" max="7938" width="97.25" style="108" customWidth="1"/>
    <col min="7939" max="8192" width="9" style="108"/>
    <col min="8193" max="8193" width="141.125" style="108" customWidth="1"/>
    <col min="8194" max="8194" width="97.25" style="108" customWidth="1"/>
    <col min="8195" max="8448" width="9" style="108"/>
    <col min="8449" max="8449" width="141.125" style="108" customWidth="1"/>
    <col min="8450" max="8450" width="97.25" style="108" customWidth="1"/>
    <col min="8451" max="8704" width="9" style="108"/>
    <col min="8705" max="8705" width="141.125" style="108" customWidth="1"/>
    <col min="8706" max="8706" width="97.25" style="108" customWidth="1"/>
    <col min="8707" max="8960" width="9" style="108"/>
    <col min="8961" max="8961" width="141.125" style="108" customWidth="1"/>
    <col min="8962" max="8962" width="97.25" style="108" customWidth="1"/>
    <col min="8963" max="9216" width="9" style="108"/>
    <col min="9217" max="9217" width="141.125" style="108" customWidth="1"/>
    <col min="9218" max="9218" width="97.25" style="108" customWidth="1"/>
    <col min="9219" max="9472" width="9" style="108"/>
    <col min="9473" max="9473" width="141.125" style="108" customWidth="1"/>
    <col min="9474" max="9474" width="97.25" style="108" customWidth="1"/>
    <col min="9475" max="9728" width="9" style="108"/>
    <col min="9729" max="9729" width="141.125" style="108" customWidth="1"/>
    <col min="9730" max="9730" width="97.25" style="108" customWidth="1"/>
    <col min="9731" max="9984" width="9" style="108"/>
    <col min="9985" max="9985" width="141.125" style="108" customWidth="1"/>
    <col min="9986" max="9986" width="97.25" style="108" customWidth="1"/>
    <col min="9987" max="10240" width="9" style="108"/>
    <col min="10241" max="10241" width="141.125" style="108" customWidth="1"/>
    <col min="10242" max="10242" width="97.25" style="108" customWidth="1"/>
    <col min="10243" max="10496" width="9" style="108"/>
    <col min="10497" max="10497" width="141.125" style="108" customWidth="1"/>
    <col min="10498" max="10498" width="97.25" style="108" customWidth="1"/>
    <col min="10499" max="10752" width="9" style="108"/>
    <col min="10753" max="10753" width="141.125" style="108" customWidth="1"/>
    <col min="10754" max="10754" width="97.25" style="108" customWidth="1"/>
    <col min="10755" max="11008" width="9" style="108"/>
    <col min="11009" max="11009" width="141.125" style="108" customWidth="1"/>
    <col min="11010" max="11010" width="97.25" style="108" customWidth="1"/>
    <col min="11011" max="11264" width="9" style="108"/>
    <col min="11265" max="11265" width="141.125" style="108" customWidth="1"/>
    <col min="11266" max="11266" width="97.25" style="108" customWidth="1"/>
    <col min="11267" max="11520" width="9" style="108"/>
    <col min="11521" max="11521" width="141.125" style="108" customWidth="1"/>
    <col min="11522" max="11522" width="97.25" style="108" customWidth="1"/>
    <col min="11523" max="11776" width="9" style="108"/>
    <col min="11777" max="11777" width="141.125" style="108" customWidth="1"/>
    <col min="11778" max="11778" width="97.25" style="108" customWidth="1"/>
    <col min="11779" max="12032" width="9" style="108"/>
    <col min="12033" max="12033" width="141.125" style="108" customWidth="1"/>
    <col min="12034" max="12034" width="97.25" style="108" customWidth="1"/>
    <col min="12035" max="12288" width="9" style="108"/>
    <col min="12289" max="12289" width="141.125" style="108" customWidth="1"/>
    <col min="12290" max="12290" width="97.25" style="108" customWidth="1"/>
    <col min="12291" max="12544" width="9" style="108"/>
    <col min="12545" max="12545" width="141.125" style="108" customWidth="1"/>
    <col min="12546" max="12546" width="97.25" style="108" customWidth="1"/>
    <col min="12547" max="12800" width="9" style="108"/>
    <col min="12801" max="12801" width="141.125" style="108" customWidth="1"/>
    <col min="12802" max="12802" width="97.25" style="108" customWidth="1"/>
    <col min="12803" max="13056" width="9" style="108"/>
    <col min="13057" max="13057" width="141.125" style="108" customWidth="1"/>
    <col min="13058" max="13058" width="97.25" style="108" customWidth="1"/>
    <col min="13059" max="13312" width="9" style="108"/>
    <col min="13313" max="13313" width="141.125" style="108" customWidth="1"/>
    <col min="13314" max="13314" width="97.25" style="108" customWidth="1"/>
    <col min="13315" max="13568" width="9" style="108"/>
    <col min="13569" max="13569" width="141.125" style="108" customWidth="1"/>
    <col min="13570" max="13570" width="97.25" style="108" customWidth="1"/>
    <col min="13571" max="13824" width="9" style="108"/>
    <col min="13825" max="13825" width="141.125" style="108" customWidth="1"/>
    <col min="13826" max="13826" width="97.25" style="108" customWidth="1"/>
    <col min="13827" max="14080" width="9" style="108"/>
    <col min="14081" max="14081" width="141.125" style="108" customWidth="1"/>
    <col min="14082" max="14082" width="97.25" style="108" customWidth="1"/>
    <col min="14083" max="14336" width="9" style="108"/>
    <col min="14337" max="14337" width="141.125" style="108" customWidth="1"/>
    <col min="14338" max="14338" width="97.25" style="108" customWidth="1"/>
    <col min="14339" max="14592" width="9" style="108"/>
    <col min="14593" max="14593" width="141.125" style="108" customWidth="1"/>
    <col min="14594" max="14594" width="97.25" style="108" customWidth="1"/>
    <col min="14595" max="14848" width="9" style="108"/>
    <col min="14849" max="14849" width="141.125" style="108" customWidth="1"/>
    <col min="14850" max="14850" width="97.25" style="108" customWidth="1"/>
    <col min="14851" max="15104" width="9" style="108"/>
    <col min="15105" max="15105" width="141.125" style="108" customWidth="1"/>
    <col min="15106" max="15106" width="97.25" style="108" customWidth="1"/>
    <col min="15107" max="15360" width="9" style="108"/>
    <col min="15361" max="15361" width="141.125" style="108" customWidth="1"/>
    <col min="15362" max="15362" width="97.25" style="108" customWidth="1"/>
    <col min="15363" max="15616" width="9" style="108"/>
    <col min="15617" max="15617" width="141.125" style="108" customWidth="1"/>
    <col min="15618" max="15618" width="97.25" style="108" customWidth="1"/>
    <col min="15619" max="15872" width="9" style="108"/>
    <col min="15873" max="15873" width="141.125" style="108" customWidth="1"/>
    <col min="15874" max="15874" width="97.25" style="108" customWidth="1"/>
    <col min="15875" max="16128" width="9" style="108"/>
    <col min="16129" max="16129" width="141.125" style="108" customWidth="1"/>
    <col min="16130" max="16130" width="97.25" style="108" customWidth="1"/>
    <col min="16131" max="16384" width="9" style="108"/>
  </cols>
  <sheetData>
    <row r="1" spans="1:2" ht="18.75" x14ac:dyDescent="0.3">
      <c r="A1" s="326"/>
      <c r="B1" s="326"/>
    </row>
    <row r="2" spans="1:2" ht="21" x14ac:dyDescent="0.2">
      <c r="A2" s="106" t="s">
        <v>553</v>
      </c>
      <c r="B2" s="217"/>
    </row>
    <row r="3" spans="1:2" ht="21" x14ac:dyDescent="0.2">
      <c r="A3" s="287" t="s">
        <v>554</v>
      </c>
      <c r="B3" s="217"/>
    </row>
    <row r="4" spans="1:2" ht="21" x14ac:dyDescent="0.2">
      <c r="A4" s="288"/>
      <c r="B4" s="217"/>
    </row>
    <row r="5" spans="1:2" s="112" customFormat="1" ht="21" x14ac:dyDescent="0.2">
      <c r="A5" s="106" t="s">
        <v>555</v>
      </c>
      <c r="B5" s="289"/>
    </row>
    <row r="6" spans="1:2" s="112" customFormat="1" ht="21" x14ac:dyDescent="0.2">
      <c r="A6" s="290" t="s">
        <v>556</v>
      </c>
      <c r="B6" s="289"/>
    </row>
    <row r="7" spans="1:2" s="112" customFormat="1" ht="21" x14ac:dyDescent="0.2">
      <c r="A7" s="290" t="s">
        <v>533</v>
      </c>
      <c r="B7" s="289"/>
    </row>
    <row r="8" spans="1:2" s="291" customFormat="1" ht="21" x14ac:dyDescent="0.3">
      <c r="A8" s="290" t="s">
        <v>557</v>
      </c>
    </row>
    <row r="9" spans="1:2" s="112" customFormat="1" ht="21" x14ac:dyDescent="0.2">
      <c r="A9" s="290" t="s">
        <v>558</v>
      </c>
      <c r="B9" s="290"/>
    </row>
    <row r="10" spans="1:2" s="291" customFormat="1" ht="21" x14ac:dyDescent="0.3">
      <c r="A10" s="290"/>
      <c r="B10" s="290"/>
    </row>
    <row r="11" spans="1:2" s="112" customFormat="1" x14ac:dyDescent="0.2">
      <c r="A11" s="289"/>
      <c r="B11" s="289"/>
    </row>
    <row r="12" spans="1:2" s="291" customFormat="1" ht="21" x14ac:dyDescent="0.3">
      <c r="A12" s="106" t="s">
        <v>559</v>
      </c>
      <c r="B12" s="290"/>
    </row>
    <row r="13" spans="1:2" s="291" customFormat="1" ht="21" x14ac:dyDescent="0.3">
      <c r="A13" s="292" t="s">
        <v>560</v>
      </c>
      <c r="B13" s="290"/>
    </row>
    <row r="14" spans="1:2" s="291" customFormat="1" ht="21" x14ac:dyDescent="0.3">
      <c r="A14" s="290" t="s">
        <v>561</v>
      </c>
      <c r="B14" s="290"/>
    </row>
    <row r="15" spans="1:2" s="291" customFormat="1" ht="21" x14ac:dyDescent="0.3">
      <c r="A15" s="290"/>
      <c r="B15" s="290"/>
    </row>
    <row r="16" spans="1:2" s="291" customFormat="1" ht="21" x14ac:dyDescent="0.3">
      <c r="A16" s="290"/>
      <c r="B16" s="290"/>
    </row>
    <row r="17" spans="1:2" s="291" customFormat="1" ht="21" x14ac:dyDescent="0.3">
      <c r="A17" s="290"/>
      <c r="B17" s="290"/>
    </row>
  </sheetData>
  <mergeCells count="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F6" sqref="F6"/>
    </sheetView>
  </sheetViews>
  <sheetFormatPr defaultRowHeight="13.5" x14ac:dyDescent="0.25"/>
  <cols>
    <col min="1" max="1" width="21.875" style="286" customWidth="1"/>
    <col min="2" max="2" width="14.875" style="286" bestFit="1" customWidth="1"/>
    <col min="3" max="3" width="14.125" style="286" customWidth="1"/>
    <col min="4" max="7" width="14.625" style="286" customWidth="1"/>
    <col min="8" max="8" width="10.125" style="286" customWidth="1"/>
    <col min="9" max="9" width="10.25" style="286" customWidth="1"/>
    <col min="10" max="10" width="9" style="286" customWidth="1"/>
    <col min="11" max="256" width="9" style="286"/>
    <col min="257" max="257" width="21.875" style="286" customWidth="1"/>
    <col min="258" max="258" width="14.875" style="286" bestFit="1" customWidth="1"/>
    <col min="259" max="259" width="14.125" style="286" customWidth="1"/>
    <col min="260" max="263" width="14.625" style="286" customWidth="1"/>
    <col min="264" max="264" width="10.125" style="286" customWidth="1"/>
    <col min="265" max="265" width="10.25" style="286" customWidth="1"/>
    <col min="266" max="266" width="9" style="286" customWidth="1"/>
    <col min="267" max="512" width="9" style="286"/>
    <col min="513" max="513" width="21.875" style="286" customWidth="1"/>
    <col min="514" max="514" width="14.875" style="286" bestFit="1" customWidth="1"/>
    <col min="515" max="515" width="14.125" style="286" customWidth="1"/>
    <col min="516" max="519" width="14.625" style="286" customWidth="1"/>
    <col min="520" max="520" width="10.125" style="286" customWidth="1"/>
    <col min="521" max="521" width="10.25" style="286" customWidth="1"/>
    <col min="522" max="522" width="9" style="286" customWidth="1"/>
    <col min="523" max="768" width="9" style="286"/>
    <col min="769" max="769" width="21.875" style="286" customWidth="1"/>
    <col min="770" max="770" width="14.875" style="286" bestFit="1" customWidth="1"/>
    <col min="771" max="771" width="14.125" style="286" customWidth="1"/>
    <col min="772" max="775" width="14.625" style="286" customWidth="1"/>
    <col min="776" max="776" width="10.125" style="286" customWidth="1"/>
    <col min="777" max="777" width="10.25" style="286" customWidth="1"/>
    <col min="778" max="778" width="9" style="286" customWidth="1"/>
    <col min="779" max="1024" width="9" style="286"/>
    <col min="1025" max="1025" width="21.875" style="286" customWidth="1"/>
    <col min="1026" max="1026" width="14.875" style="286" bestFit="1" customWidth="1"/>
    <col min="1027" max="1027" width="14.125" style="286" customWidth="1"/>
    <col min="1028" max="1031" width="14.625" style="286" customWidth="1"/>
    <col min="1032" max="1032" width="10.125" style="286" customWidth="1"/>
    <col min="1033" max="1033" width="10.25" style="286" customWidth="1"/>
    <col min="1034" max="1034" width="9" style="286" customWidth="1"/>
    <col min="1035" max="1280" width="9" style="286"/>
    <col min="1281" max="1281" width="21.875" style="286" customWidth="1"/>
    <col min="1282" max="1282" width="14.875" style="286" bestFit="1" customWidth="1"/>
    <col min="1283" max="1283" width="14.125" style="286" customWidth="1"/>
    <col min="1284" max="1287" width="14.625" style="286" customWidth="1"/>
    <col min="1288" max="1288" width="10.125" style="286" customWidth="1"/>
    <col min="1289" max="1289" width="10.25" style="286" customWidth="1"/>
    <col min="1290" max="1290" width="9" style="286" customWidth="1"/>
    <col min="1291" max="1536" width="9" style="286"/>
    <col min="1537" max="1537" width="21.875" style="286" customWidth="1"/>
    <col min="1538" max="1538" width="14.875" style="286" bestFit="1" customWidth="1"/>
    <col min="1539" max="1539" width="14.125" style="286" customWidth="1"/>
    <col min="1540" max="1543" width="14.625" style="286" customWidth="1"/>
    <col min="1544" max="1544" width="10.125" style="286" customWidth="1"/>
    <col min="1545" max="1545" width="10.25" style="286" customWidth="1"/>
    <col min="1546" max="1546" width="9" style="286" customWidth="1"/>
    <col min="1547" max="1792" width="9" style="286"/>
    <col min="1793" max="1793" width="21.875" style="286" customWidth="1"/>
    <col min="1794" max="1794" width="14.875" style="286" bestFit="1" customWidth="1"/>
    <col min="1795" max="1795" width="14.125" style="286" customWidth="1"/>
    <col min="1796" max="1799" width="14.625" style="286" customWidth="1"/>
    <col min="1800" max="1800" width="10.125" style="286" customWidth="1"/>
    <col min="1801" max="1801" width="10.25" style="286" customWidth="1"/>
    <col min="1802" max="1802" width="9" style="286" customWidth="1"/>
    <col min="1803" max="2048" width="9" style="286"/>
    <col min="2049" max="2049" width="21.875" style="286" customWidth="1"/>
    <col min="2050" max="2050" width="14.875" style="286" bestFit="1" customWidth="1"/>
    <col min="2051" max="2051" width="14.125" style="286" customWidth="1"/>
    <col min="2052" max="2055" width="14.625" style="286" customWidth="1"/>
    <col min="2056" max="2056" width="10.125" style="286" customWidth="1"/>
    <col min="2057" max="2057" width="10.25" style="286" customWidth="1"/>
    <col min="2058" max="2058" width="9" style="286" customWidth="1"/>
    <col min="2059" max="2304" width="9" style="286"/>
    <col min="2305" max="2305" width="21.875" style="286" customWidth="1"/>
    <col min="2306" max="2306" width="14.875" style="286" bestFit="1" customWidth="1"/>
    <col min="2307" max="2307" width="14.125" style="286" customWidth="1"/>
    <col min="2308" max="2311" width="14.625" style="286" customWidth="1"/>
    <col min="2312" max="2312" width="10.125" style="286" customWidth="1"/>
    <col min="2313" max="2313" width="10.25" style="286" customWidth="1"/>
    <col min="2314" max="2314" width="9" style="286" customWidth="1"/>
    <col min="2315" max="2560" width="9" style="286"/>
    <col min="2561" max="2561" width="21.875" style="286" customWidth="1"/>
    <col min="2562" max="2562" width="14.875" style="286" bestFit="1" customWidth="1"/>
    <col min="2563" max="2563" width="14.125" style="286" customWidth="1"/>
    <col min="2564" max="2567" width="14.625" style="286" customWidth="1"/>
    <col min="2568" max="2568" width="10.125" style="286" customWidth="1"/>
    <col min="2569" max="2569" width="10.25" style="286" customWidth="1"/>
    <col min="2570" max="2570" width="9" style="286" customWidth="1"/>
    <col min="2571" max="2816" width="9" style="286"/>
    <col min="2817" max="2817" width="21.875" style="286" customWidth="1"/>
    <col min="2818" max="2818" width="14.875" style="286" bestFit="1" customWidth="1"/>
    <col min="2819" max="2819" width="14.125" style="286" customWidth="1"/>
    <col min="2820" max="2823" width="14.625" style="286" customWidth="1"/>
    <col min="2824" max="2824" width="10.125" style="286" customWidth="1"/>
    <col min="2825" max="2825" width="10.25" style="286" customWidth="1"/>
    <col min="2826" max="2826" width="9" style="286" customWidth="1"/>
    <col min="2827" max="3072" width="9" style="286"/>
    <col min="3073" max="3073" width="21.875" style="286" customWidth="1"/>
    <col min="3074" max="3074" width="14.875" style="286" bestFit="1" customWidth="1"/>
    <col min="3075" max="3075" width="14.125" style="286" customWidth="1"/>
    <col min="3076" max="3079" width="14.625" style="286" customWidth="1"/>
    <col min="3080" max="3080" width="10.125" style="286" customWidth="1"/>
    <col min="3081" max="3081" width="10.25" style="286" customWidth="1"/>
    <col min="3082" max="3082" width="9" style="286" customWidth="1"/>
    <col min="3083" max="3328" width="9" style="286"/>
    <col min="3329" max="3329" width="21.875" style="286" customWidth="1"/>
    <col min="3330" max="3330" width="14.875" style="286" bestFit="1" customWidth="1"/>
    <col min="3331" max="3331" width="14.125" style="286" customWidth="1"/>
    <col min="3332" max="3335" width="14.625" style="286" customWidth="1"/>
    <col min="3336" max="3336" width="10.125" style="286" customWidth="1"/>
    <col min="3337" max="3337" width="10.25" style="286" customWidth="1"/>
    <col min="3338" max="3338" width="9" style="286" customWidth="1"/>
    <col min="3339" max="3584" width="9" style="286"/>
    <col min="3585" max="3585" width="21.875" style="286" customWidth="1"/>
    <col min="3586" max="3586" width="14.875" style="286" bestFit="1" customWidth="1"/>
    <col min="3587" max="3587" width="14.125" style="286" customWidth="1"/>
    <col min="3588" max="3591" width="14.625" style="286" customWidth="1"/>
    <col min="3592" max="3592" width="10.125" style="286" customWidth="1"/>
    <col min="3593" max="3593" width="10.25" style="286" customWidth="1"/>
    <col min="3594" max="3594" width="9" style="286" customWidth="1"/>
    <col min="3595" max="3840" width="9" style="286"/>
    <col min="3841" max="3841" width="21.875" style="286" customWidth="1"/>
    <col min="3842" max="3842" width="14.875" style="286" bestFit="1" customWidth="1"/>
    <col min="3843" max="3843" width="14.125" style="286" customWidth="1"/>
    <col min="3844" max="3847" width="14.625" style="286" customWidth="1"/>
    <col min="3848" max="3848" width="10.125" style="286" customWidth="1"/>
    <col min="3849" max="3849" width="10.25" style="286" customWidth="1"/>
    <col min="3850" max="3850" width="9" style="286" customWidth="1"/>
    <col min="3851" max="4096" width="9" style="286"/>
    <col min="4097" max="4097" width="21.875" style="286" customWidth="1"/>
    <col min="4098" max="4098" width="14.875" style="286" bestFit="1" customWidth="1"/>
    <col min="4099" max="4099" width="14.125" style="286" customWidth="1"/>
    <col min="4100" max="4103" width="14.625" style="286" customWidth="1"/>
    <col min="4104" max="4104" width="10.125" style="286" customWidth="1"/>
    <col min="4105" max="4105" width="10.25" style="286" customWidth="1"/>
    <col min="4106" max="4106" width="9" style="286" customWidth="1"/>
    <col min="4107" max="4352" width="9" style="286"/>
    <col min="4353" max="4353" width="21.875" style="286" customWidth="1"/>
    <col min="4354" max="4354" width="14.875" style="286" bestFit="1" customWidth="1"/>
    <col min="4355" max="4355" width="14.125" style="286" customWidth="1"/>
    <col min="4356" max="4359" width="14.625" style="286" customWidth="1"/>
    <col min="4360" max="4360" width="10.125" style="286" customWidth="1"/>
    <col min="4361" max="4361" width="10.25" style="286" customWidth="1"/>
    <col min="4362" max="4362" width="9" style="286" customWidth="1"/>
    <col min="4363" max="4608" width="9" style="286"/>
    <col min="4609" max="4609" width="21.875" style="286" customWidth="1"/>
    <col min="4610" max="4610" width="14.875" style="286" bestFit="1" customWidth="1"/>
    <col min="4611" max="4611" width="14.125" style="286" customWidth="1"/>
    <col min="4612" max="4615" width="14.625" style="286" customWidth="1"/>
    <col min="4616" max="4616" width="10.125" style="286" customWidth="1"/>
    <col min="4617" max="4617" width="10.25" style="286" customWidth="1"/>
    <col min="4618" max="4618" width="9" style="286" customWidth="1"/>
    <col min="4619" max="4864" width="9" style="286"/>
    <col min="4865" max="4865" width="21.875" style="286" customWidth="1"/>
    <col min="4866" max="4866" width="14.875" style="286" bestFit="1" customWidth="1"/>
    <col min="4867" max="4867" width="14.125" style="286" customWidth="1"/>
    <col min="4868" max="4871" width="14.625" style="286" customWidth="1"/>
    <col min="4872" max="4872" width="10.125" style="286" customWidth="1"/>
    <col min="4873" max="4873" width="10.25" style="286" customWidth="1"/>
    <col min="4874" max="4874" width="9" style="286" customWidth="1"/>
    <col min="4875" max="5120" width="9" style="286"/>
    <col min="5121" max="5121" width="21.875" style="286" customWidth="1"/>
    <col min="5122" max="5122" width="14.875" style="286" bestFit="1" customWidth="1"/>
    <col min="5123" max="5123" width="14.125" style="286" customWidth="1"/>
    <col min="5124" max="5127" width="14.625" style="286" customWidth="1"/>
    <col min="5128" max="5128" width="10.125" style="286" customWidth="1"/>
    <col min="5129" max="5129" width="10.25" style="286" customWidth="1"/>
    <col min="5130" max="5130" width="9" style="286" customWidth="1"/>
    <col min="5131" max="5376" width="9" style="286"/>
    <col min="5377" max="5377" width="21.875" style="286" customWidth="1"/>
    <col min="5378" max="5378" width="14.875" style="286" bestFit="1" customWidth="1"/>
    <col min="5379" max="5379" width="14.125" style="286" customWidth="1"/>
    <col min="5380" max="5383" width="14.625" style="286" customWidth="1"/>
    <col min="5384" max="5384" width="10.125" style="286" customWidth="1"/>
    <col min="5385" max="5385" width="10.25" style="286" customWidth="1"/>
    <col min="5386" max="5386" width="9" style="286" customWidth="1"/>
    <col min="5387" max="5632" width="9" style="286"/>
    <col min="5633" max="5633" width="21.875" style="286" customWidth="1"/>
    <col min="5634" max="5634" width="14.875" style="286" bestFit="1" customWidth="1"/>
    <col min="5635" max="5635" width="14.125" style="286" customWidth="1"/>
    <col min="5636" max="5639" width="14.625" style="286" customWidth="1"/>
    <col min="5640" max="5640" width="10.125" style="286" customWidth="1"/>
    <col min="5641" max="5641" width="10.25" style="286" customWidth="1"/>
    <col min="5642" max="5642" width="9" style="286" customWidth="1"/>
    <col min="5643" max="5888" width="9" style="286"/>
    <col min="5889" max="5889" width="21.875" style="286" customWidth="1"/>
    <col min="5890" max="5890" width="14.875" style="286" bestFit="1" customWidth="1"/>
    <col min="5891" max="5891" width="14.125" style="286" customWidth="1"/>
    <col min="5892" max="5895" width="14.625" style="286" customWidth="1"/>
    <col min="5896" max="5896" width="10.125" style="286" customWidth="1"/>
    <col min="5897" max="5897" width="10.25" style="286" customWidth="1"/>
    <col min="5898" max="5898" width="9" style="286" customWidth="1"/>
    <col min="5899" max="6144" width="9" style="286"/>
    <col min="6145" max="6145" width="21.875" style="286" customWidth="1"/>
    <col min="6146" max="6146" width="14.875" style="286" bestFit="1" customWidth="1"/>
    <col min="6147" max="6147" width="14.125" style="286" customWidth="1"/>
    <col min="6148" max="6151" width="14.625" style="286" customWidth="1"/>
    <col min="6152" max="6152" width="10.125" style="286" customWidth="1"/>
    <col min="6153" max="6153" width="10.25" style="286" customWidth="1"/>
    <col min="6154" max="6154" width="9" style="286" customWidth="1"/>
    <col min="6155" max="6400" width="9" style="286"/>
    <col min="6401" max="6401" width="21.875" style="286" customWidth="1"/>
    <col min="6402" max="6402" width="14.875" style="286" bestFit="1" customWidth="1"/>
    <col min="6403" max="6403" width="14.125" style="286" customWidth="1"/>
    <col min="6404" max="6407" width="14.625" style="286" customWidth="1"/>
    <col min="6408" max="6408" width="10.125" style="286" customWidth="1"/>
    <col min="6409" max="6409" width="10.25" style="286" customWidth="1"/>
    <col min="6410" max="6410" width="9" style="286" customWidth="1"/>
    <col min="6411" max="6656" width="9" style="286"/>
    <col min="6657" max="6657" width="21.875" style="286" customWidth="1"/>
    <col min="6658" max="6658" width="14.875" style="286" bestFit="1" customWidth="1"/>
    <col min="6659" max="6659" width="14.125" style="286" customWidth="1"/>
    <col min="6660" max="6663" width="14.625" style="286" customWidth="1"/>
    <col min="6664" max="6664" width="10.125" style="286" customWidth="1"/>
    <col min="6665" max="6665" width="10.25" style="286" customWidth="1"/>
    <col min="6666" max="6666" width="9" style="286" customWidth="1"/>
    <col min="6667" max="6912" width="9" style="286"/>
    <col min="6913" max="6913" width="21.875" style="286" customWidth="1"/>
    <col min="6914" max="6914" width="14.875" style="286" bestFit="1" customWidth="1"/>
    <col min="6915" max="6915" width="14.125" style="286" customWidth="1"/>
    <col min="6916" max="6919" width="14.625" style="286" customWidth="1"/>
    <col min="6920" max="6920" width="10.125" style="286" customWidth="1"/>
    <col min="6921" max="6921" width="10.25" style="286" customWidth="1"/>
    <col min="6922" max="6922" width="9" style="286" customWidth="1"/>
    <col min="6923" max="7168" width="9" style="286"/>
    <col min="7169" max="7169" width="21.875" style="286" customWidth="1"/>
    <col min="7170" max="7170" width="14.875" style="286" bestFit="1" customWidth="1"/>
    <col min="7171" max="7171" width="14.125" style="286" customWidth="1"/>
    <col min="7172" max="7175" width="14.625" style="286" customWidth="1"/>
    <col min="7176" max="7176" width="10.125" style="286" customWidth="1"/>
    <col min="7177" max="7177" width="10.25" style="286" customWidth="1"/>
    <col min="7178" max="7178" width="9" style="286" customWidth="1"/>
    <col min="7179" max="7424" width="9" style="286"/>
    <col min="7425" max="7425" width="21.875" style="286" customWidth="1"/>
    <col min="7426" max="7426" width="14.875" style="286" bestFit="1" customWidth="1"/>
    <col min="7427" max="7427" width="14.125" style="286" customWidth="1"/>
    <col min="7428" max="7431" width="14.625" style="286" customWidth="1"/>
    <col min="7432" max="7432" width="10.125" style="286" customWidth="1"/>
    <col min="7433" max="7433" width="10.25" style="286" customWidth="1"/>
    <col min="7434" max="7434" width="9" style="286" customWidth="1"/>
    <col min="7435" max="7680" width="9" style="286"/>
    <col min="7681" max="7681" width="21.875" style="286" customWidth="1"/>
    <col min="7682" max="7682" width="14.875" style="286" bestFit="1" customWidth="1"/>
    <col min="7683" max="7683" width="14.125" style="286" customWidth="1"/>
    <col min="7684" max="7687" width="14.625" style="286" customWidth="1"/>
    <col min="7688" max="7688" width="10.125" style="286" customWidth="1"/>
    <col min="7689" max="7689" width="10.25" style="286" customWidth="1"/>
    <col min="7690" max="7690" width="9" style="286" customWidth="1"/>
    <col min="7691" max="7936" width="9" style="286"/>
    <col min="7937" max="7937" width="21.875" style="286" customWidth="1"/>
    <col min="7938" max="7938" width="14.875" style="286" bestFit="1" customWidth="1"/>
    <col min="7939" max="7939" width="14.125" style="286" customWidth="1"/>
    <col min="7940" max="7943" width="14.625" style="286" customWidth="1"/>
    <col min="7944" max="7944" width="10.125" style="286" customWidth="1"/>
    <col min="7945" max="7945" width="10.25" style="286" customWidth="1"/>
    <col min="7946" max="7946" width="9" style="286" customWidth="1"/>
    <col min="7947" max="8192" width="9" style="286"/>
    <col min="8193" max="8193" width="21.875" style="286" customWidth="1"/>
    <col min="8194" max="8194" width="14.875" style="286" bestFit="1" customWidth="1"/>
    <col min="8195" max="8195" width="14.125" style="286" customWidth="1"/>
    <col min="8196" max="8199" width="14.625" style="286" customWidth="1"/>
    <col min="8200" max="8200" width="10.125" style="286" customWidth="1"/>
    <col min="8201" max="8201" width="10.25" style="286" customWidth="1"/>
    <col min="8202" max="8202" width="9" style="286" customWidth="1"/>
    <col min="8203" max="8448" width="9" style="286"/>
    <col min="8449" max="8449" width="21.875" style="286" customWidth="1"/>
    <col min="8450" max="8450" width="14.875" style="286" bestFit="1" customWidth="1"/>
    <col min="8451" max="8451" width="14.125" style="286" customWidth="1"/>
    <col min="8452" max="8455" width="14.625" style="286" customWidth="1"/>
    <col min="8456" max="8456" width="10.125" style="286" customWidth="1"/>
    <col min="8457" max="8457" width="10.25" style="286" customWidth="1"/>
    <col min="8458" max="8458" width="9" style="286" customWidth="1"/>
    <col min="8459" max="8704" width="9" style="286"/>
    <col min="8705" max="8705" width="21.875" style="286" customWidth="1"/>
    <col min="8706" max="8706" width="14.875" style="286" bestFit="1" customWidth="1"/>
    <col min="8707" max="8707" width="14.125" style="286" customWidth="1"/>
    <col min="8708" max="8711" width="14.625" style="286" customWidth="1"/>
    <col min="8712" max="8712" width="10.125" style="286" customWidth="1"/>
    <col min="8713" max="8713" width="10.25" style="286" customWidth="1"/>
    <col min="8714" max="8714" width="9" style="286" customWidth="1"/>
    <col min="8715" max="8960" width="9" style="286"/>
    <col min="8961" max="8961" width="21.875" style="286" customWidth="1"/>
    <col min="8962" max="8962" width="14.875" style="286" bestFit="1" customWidth="1"/>
    <col min="8963" max="8963" width="14.125" style="286" customWidth="1"/>
    <col min="8964" max="8967" width="14.625" style="286" customWidth="1"/>
    <col min="8968" max="8968" width="10.125" style="286" customWidth="1"/>
    <col min="8969" max="8969" width="10.25" style="286" customWidth="1"/>
    <col min="8970" max="8970" width="9" style="286" customWidth="1"/>
    <col min="8971" max="9216" width="9" style="286"/>
    <col min="9217" max="9217" width="21.875" style="286" customWidth="1"/>
    <col min="9218" max="9218" width="14.875" style="286" bestFit="1" customWidth="1"/>
    <col min="9219" max="9219" width="14.125" style="286" customWidth="1"/>
    <col min="9220" max="9223" width="14.625" style="286" customWidth="1"/>
    <col min="9224" max="9224" width="10.125" style="286" customWidth="1"/>
    <col min="9225" max="9225" width="10.25" style="286" customWidth="1"/>
    <col min="9226" max="9226" width="9" style="286" customWidth="1"/>
    <col min="9227" max="9472" width="9" style="286"/>
    <col min="9473" max="9473" width="21.875" style="286" customWidth="1"/>
    <col min="9474" max="9474" width="14.875" style="286" bestFit="1" customWidth="1"/>
    <col min="9475" max="9475" width="14.125" style="286" customWidth="1"/>
    <col min="9476" max="9479" width="14.625" style="286" customWidth="1"/>
    <col min="9480" max="9480" width="10.125" style="286" customWidth="1"/>
    <col min="9481" max="9481" width="10.25" style="286" customWidth="1"/>
    <col min="9482" max="9482" width="9" style="286" customWidth="1"/>
    <col min="9483" max="9728" width="9" style="286"/>
    <col min="9729" max="9729" width="21.875" style="286" customWidth="1"/>
    <col min="9730" max="9730" width="14.875" style="286" bestFit="1" customWidth="1"/>
    <col min="9731" max="9731" width="14.125" style="286" customWidth="1"/>
    <col min="9732" max="9735" width="14.625" style="286" customWidth="1"/>
    <col min="9736" max="9736" width="10.125" style="286" customWidth="1"/>
    <col min="9737" max="9737" width="10.25" style="286" customWidth="1"/>
    <col min="9738" max="9738" width="9" style="286" customWidth="1"/>
    <col min="9739" max="9984" width="9" style="286"/>
    <col min="9985" max="9985" width="21.875" style="286" customWidth="1"/>
    <col min="9986" max="9986" width="14.875" style="286" bestFit="1" customWidth="1"/>
    <col min="9987" max="9987" width="14.125" style="286" customWidth="1"/>
    <col min="9988" max="9991" width="14.625" style="286" customWidth="1"/>
    <col min="9992" max="9992" width="10.125" style="286" customWidth="1"/>
    <col min="9993" max="9993" width="10.25" style="286" customWidth="1"/>
    <col min="9994" max="9994" width="9" style="286" customWidth="1"/>
    <col min="9995" max="10240" width="9" style="286"/>
    <col min="10241" max="10241" width="21.875" style="286" customWidth="1"/>
    <col min="10242" max="10242" width="14.875" style="286" bestFit="1" customWidth="1"/>
    <col min="10243" max="10243" width="14.125" style="286" customWidth="1"/>
    <col min="10244" max="10247" width="14.625" style="286" customWidth="1"/>
    <col min="10248" max="10248" width="10.125" style="286" customWidth="1"/>
    <col min="10249" max="10249" width="10.25" style="286" customWidth="1"/>
    <col min="10250" max="10250" width="9" style="286" customWidth="1"/>
    <col min="10251" max="10496" width="9" style="286"/>
    <col min="10497" max="10497" width="21.875" style="286" customWidth="1"/>
    <col min="10498" max="10498" width="14.875" style="286" bestFit="1" customWidth="1"/>
    <col min="10499" max="10499" width="14.125" style="286" customWidth="1"/>
    <col min="10500" max="10503" width="14.625" style="286" customWidth="1"/>
    <col min="10504" max="10504" width="10.125" style="286" customWidth="1"/>
    <col min="10505" max="10505" width="10.25" style="286" customWidth="1"/>
    <col min="10506" max="10506" width="9" style="286" customWidth="1"/>
    <col min="10507" max="10752" width="9" style="286"/>
    <col min="10753" max="10753" width="21.875" style="286" customWidth="1"/>
    <col min="10754" max="10754" width="14.875" style="286" bestFit="1" customWidth="1"/>
    <col min="10755" max="10755" width="14.125" style="286" customWidth="1"/>
    <col min="10756" max="10759" width="14.625" style="286" customWidth="1"/>
    <col min="10760" max="10760" width="10.125" style="286" customWidth="1"/>
    <col min="10761" max="10761" width="10.25" style="286" customWidth="1"/>
    <col min="10762" max="10762" width="9" style="286" customWidth="1"/>
    <col min="10763" max="11008" width="9" style="286"/>
    <col min="11009" max="11009" width="21.875" style="286" customWidth="1"/>
    <col min="11010" max="11010" width="14.875" style="286" bestFit="1" customWidth="1"/>
    <col min="11011" max="11011" width="14.125" style="286" customWidth="1"/>
    <col min="11012" max="11015" width="14.625" style="286" customWidth="1"/>
    <col min="11016" max="11016" width="10.125" style="286" customWidth="1"/>
    <col min="11017" max="11017" width="10.25" style="286" customWidth="1"/>
    <col min="11018" max="11018" width="9" style="286" customWidth="1"/>
    <col min="11019" max="11264" width="9" style="286"/>
    <col min="11265" max="11265" width="21.875" style="286" customWidth="1"/>
    <col min="11266" max="11266" width="14.875" style="286" bestFit="1" customWidth="1"/>
    <col min="11267" max="11267" width="14.125" style="286" customWidth="1"/>
    <col min="11268" max="11271" width="14.625" style="286" customWidth="1"/>
    <col min="11272" max="11272" width="10.125" style="286" customWidth="1"/>
    <col min="11273" max="11273" width="10.25" style="286" customWidth="1"/>
    <col min="11274" max="11274" width="9" style="286" customWidth="1"/>
    <col min="11275" max="11520" width="9" style="286"/>
    <col min="11521" max="11521" width="21.875" style="286" customWidth="1"/>
    <col min="11522" max="11522" width="14.875" style="286" bestFit="1" customWidth="1"/>
    <col min="11523" max="11523" width="14.125" style="286" customWidth="1"/>
    <col min="11524" max="11527" width="14.625" style="286" customWidth="1"/>
    <col min="11528" max="11528" width="10.125" style="286" customWidth="1"/>
    <col min="11529" max="11529" width="10.25" style="286" customWidth="1"/>
    <col min="11530" max="11530" width="9" style="286" customWidth="1"/>
    <col min="11531" max="11776" width="9" style="286"/>
    <col min="11777" max="11777" width="21.875" style="286" customWidth="1"/>
    <col min="11778" max="11778" width="14.875" style="286" bestFit="1" customWidth="1"/>
    <col min="11779" max="11779" width="14.125" style="286" customWidth="1"/>
    <col min="11780" max="11783" width="14.625" style="286" customWidth="1"/>
    <col min="11784" max="11784" width="10.125" style="286" customWidth="1"/>
    <col min="11785" max="11785" width="10.25" style="286" customWidth="1"/>
    <col min="11786" max="11786" width="9" style="286" customWidth="1"/>
    <col min="11787" max="12032" width="9" style="286"/>
    <col min="12033" max="12033" width="21.875" style="286" customWidth="1"/>
    <col min="12034" max="12034" width="14.875" style="286" bestFit="1" customWidth="1"/>
    <col min="12035" max="12035" width="14.125" style="286" customWidth="1"/>
    <col min="12036" max="12039" width="14.625" style="286" customWidth="1"/>
    <col min="12040" max="12040" width="10.125" style="286" customWidth="1"/>
    <col min="12041" max="12041" width="10.25" style="286" customWidth="1"/>
    <col min="12042" max="12042" width="9" style="286" customWidth="1"/>
    <col min="12043" max="12288" width="9" style="286"/>
    <col min="12289" max="12289" width="21.875" style="286" customWidth="1"/>
    <col min="12290" max="12290" width="14.875" style="286" bestFit="1" customWidth="1"/>
    <col min="12291" max="12291" width="14.125" style="286" customWidth="1"/>
    <col min="12292" max="12295" width="14.625" style="286" customWidth="1"/>
    <col min="12296" max="12296" width="10.125" style="286" customWidth="1"/>
    <col min="12297" max="12297" width="10.25" style="286" customWidth="1"/>
    <col min="12298" max="12298" width="9" style="286" customWidth="1"/>
    <col min="12299" max="12544" width="9" style="286"/>
    <col min="12545" max="12545" width="21.875" style="286" customWidth="1"/>
    <col min="12546" max="12546" width="14.875" style="286" bestFit="1" customWidth="1"/>
    <col min="12547" max="12547" width="14.125" style="286" customWidth="1"/>
    <col min="12548" max="12551" width="14.625" style="286" customWidth="1"/>
    <col min="12552" max="12552" width="10.125" style="286" customWidth="1"/>
    <col min="12553" max="12553" width="10.25" style="286" customWidth="1"/>
    <col min="12554" max="12554" width="9" style="286" customWidth="1"/>
    <col min="12555" max="12800" width="9" style="286"/>
    <col min="12801" max="12801" width="21.875" style="286" customWidth="1"/>
    <col min="12802" max="12802" width="14.875" style="286" bestFit="1" customWidth="1"/>
    <col min="12803" max="12803" width="14.125" style="286" customWidth="1"/>
    <col min="12804" max="12807" width="14.625" style="286" customWidth="1"/>
    <col min="12808" max="12808" width="10.125" style="286" customWidth="1"/>
    <col min="12809" max="12809" width="10.25" style="286" customWidth="1"/>
    <col min="12810" max="12810" width="9" style="286" customWidth="1"/>
    <col min="12811" max="13056" width="9" style="286"/>
    <col min="13057" max="13057" width="21.875" style="286" customWidth="1"/>
    <col min="13058" max="13058" width="14.875" style="286" bestFit="1" customWidth="1"/>
    <col min="13059" max="13059" width="14.125" style="286" customWidth="1"/>
    <col min="13060" max="13063" width="14.625" style="286" customWidth="1"/>
    <col min="13064" max="13064" width="10.125" style="286" customWidth="1"/>
    <col min="13065" max="13065" width="10.25" style="286" customWidth="1"/>
    <col min="13066" max="13066" width="9" style="286" customWidth="1"/>
    <col min="13067" max="13312" width="9" style="286"/>
    <col min="13313" max="13313" width="21.875" style="286" customWidth="1"/>
    <col min="13314" max="13314" width="14.875" style="286" bestFit="1" customWidth="1"/>
    <col min="13315" max="13315" width="14.125" style="286" customWidth="1"/>
    <col min="13316" max="13319" width="14.625" style="286" customWidth="1"/>
    <col min="13320" max="13320" width="10.125" style="286" customWidth="1"/>
    <col min="13321" max="13321" width="10.25" style="286" customWidth="1"/>
    <col min="13322" max="13322" width="9" style="286" customWidth="1"/>
    <col min="13323" max="13568" width="9" style="286"/>
    <col min="13569" max="13569" width="21.875" style="286" customWidth="1"/>
    <col min="13570" max="13570" width="14.875" style="286" bestFit="1" customWidth="1"/>
    <col min="13571" max="13571" width="14.125" style="286" customWidth="1"/>
    <col min="13572" max="13575" width="14.625" style="286" customWidth="1"/>
    <col min="13576" max="13576" width="10.125" style="286" customWidth="1"/>
    <col min="13577" max="13577" width="10.25" style="286" customWidth="1"/>
    <col min="13578" max="13578" width="9" style="286" customWidth="1"/>
    <col min="13579" max="13824" width="9" style="286"/>
    <col min="13825" max="13825" width="21.875" style="286" customWidth="1"/>
    <col min="13826" max="13826" width="14.875" style="286" bestFit="1" customWidth="1"/>
    <col min="13827" max="13827" width="14.125" style="286" customWidth="1"/>
    <col min="13828" max="13831" width="14.625" style="286" customWidth="1"/>
    <col min="13832" max="13832" width="10.125" style="286" customWidth="1"/>
    <col min="13833" max="13833" width="10.25" style="286" customWidth="1"/>
    <col min="13834" max="13834" width="9" style="286" customWidth="1"/>
    <col min="13835" max="14080" width="9" style="286"/>
    <col min="14081" max="14081" width="21.875" style="286" customWidth="1"/>
    <col min="14082" max="14082" width="14.875" style="286" bestFit="1" customWidth="1"/>
    <col min="14083" max="14083" width="14.125" style="286" customWidth="1"/>
    <col min="14084" max="14087" width="14.625" style="286" customWidth="1"/>
    <col min="14088" max="14088" width="10.125" style="286" customWidth="1"/>
    <col min="14089" max="14089" width="10.25" style="286" customWidth="1"/>
    <col min="14090" max="14090" width="9" style="286" customWidth="1"/>
    <col min="14091" max="14336" width="9" style="286"/>
    <col min="14337" max="14337" width="21.875" style="286" customWidth="1"/>
    <col min="14338" max="14338" width="14.875" style="286" bestFit="1" customWidth="1"/>
    <col min="14339" max="14339" width="14.125" style="286" customWidth="1"/>
    <col min="14340" max="14343" width="14.625" style="286" customWidth="1"/>
    <col min="14344" max="14344" width="10.125" style="286" customWidth="1"/>
    <col min="14345" max="14345" width="10.25" style="286" customWidth="1"/>
    <col min="14346" max="14346" width="9" style="286" customWidth="1"/>
    <col min="14347" max="14592" width="9" style="286"/>
    <col min="14593" max="14593" width="21.875" style="286" customWidth="1"/>
    <col min="14594" max="14594" width="14.875" style="286" bestFit="1" customWidth="1"/>
    <col min="14595" max="14595" width="14.125" style="286" customWidth="1"/>
    <col min="14596" max="14599" width="14.625" style="286" customWidth="1"/>
    <col min="14600" max="14600" width="10.125" style="286" customWidth="1"/>
    <col min="14601" max="14601" width="10.25" style="286" customWidth="1"/>
    <col min="14602" max="14602" width="9" style="286" customWidth="1"/>
    <col min="14603" max="14848" width="9" style="286"/>
    <col min="14849" max="14849" width="21.875" style="286" customWidth="1"/>
    <col min="14850" max="14850" width="14.875" style="286" bestFit="1" customWidth="1"/>
    <col min="14851" max="14851" width="14.125" style="286" customWidth="1"/>
    <col min="14852" max="14855" width="14.625" style="286" customWidth="1"/>
    <col min="14856" max="14856" width="10.125" style="286" customWidth="1"/>
    <col min="14857" max="14857" width="10.25" style="286" customWidth="1"/>
    <col min="14858" max="14858" width="9" style="286" customWidth="1"/>
    <col min="14859" max="15104" width="9" style="286"/>
    <col min="15105" max="15105" width="21.875" style="286" customWidth="1"/>
    <col min="15106" max="15106" width="14.875" style="286" bestFit="1" customWidth="1"/>
    <col min="15107" max="15107" width="14.125" style="286" customWidth="1"/>
    <col min="15108" max="15111" width="14.625" style="286" customWidth="1"/>
    <col min="15112" max="15112" width="10.125" style="286" customWidth="1"/>
    <col min="15113" max="15113" width="10.25" style="286" customWidth="1"/>
    <col min="15114" max="15114" width="9" style="286" customWidth="1"/>
    <col min="15115" max="15360" width="9" style="286"/>
    <col min="15361" max="15361" width="21.875" style="286" customWidth="1"/>
    <col min="15362" max="15362" width="14.875" style="286" bestFit="1" customWidth="1"/>
    <col min="15363" max="15363" width="14.125" style="286" customWidth="1"/>
    <col min="15364" max="15367" width="14.625" style="286" customWidth="1"/>
    <col min="15368" max="15368" width="10.125" style="286" customWidth="1"/>
    <col min="15369" max="15369" width="10.25" style="286" customWidth="1"/>
    <col min="15370" max="15370" width="9" style="286" customWidth="1"/>
    <col min="15371" max="15616" width="9" style="286"/>
    <col min="15617" max="15617" width="21.875" style="286" customWidth="1"/>
    <col min="15618" max="15618" width="14.875" style="286" bestFit="1" customWidth="1"/>
    <col min="15619" max="15619" width="14.125" style="286" customWidth="1"/>
    <col min="15620" max="15623" width="14.625" style="286" customWidth="1"/>
    <col min="15624" max="15624" width="10.125" style="286" customWidth="1"/>
    <col min="15625" max="15625" width="10.25" style="286" customWidth="1"/>
    <col min="15626" max="15626" width="9" style="286" customWidth="1"/>
    <col min="15627" max="15872" width="9" style="286"/>
    <col min="15873" max="15873" width="21.875" style="286" customWidth="1"/>
    <col min="15874" max="15874" width="14.875" style="286" bestFit="1" customWidth="1"/>
    <col min="15875" max="15875" width="14.125" style="286" customWidth="1"/>
    <col min="15876" max="15879" width="14.625" style="286" customWidth="1"/>
    <col min="15880" max="15880" width="10.125" style="286" customWidth="1"/>
    <col min="15881" max="15881" width="10.25" style="286" customWidth="1"/>
    <col min="15882" max="15882" width="9" style="286" customWidth="1"/>
    <col min="15883" max="16128" width="9" style="286"/>
    <col min="16129" max="16129" width="21.875" style="286" customWidth="1"/>
    <col min="16130" max="16130" width="14.875" style="286" bestFit="1" customWidth="1"/>
    <col min="16131" max="16131" width="14.125" style="286" customWidth="1"/>
    <col min="16132" max="16135" width="14.625" style="286" customWidth="1"/>
    <col min="16136" max="16136" width="10.125" style="286" customWidth="1"/>
    <col min="16137" max="16137" width="10.25" style="286" customWidth="1"/>
    <col min="16138" max="16138" width="9" style="286" customWidth="1"/>
    <col min="16139" max="16384" width="9" style="286"/>
  </cols>
  <sheetData>
    <row r="1" spans="1:10" s="275" customFormat="1" ht="23.25" x14ac:dyDescent="0.35">
      <c r="A1" s="335" t="s">
        <v>315</v>
      </c>
      <c r="B1" s="335"/>
      <c r="C1" s="335"/>
      <c r="D1" s="335"/>
      <c r="E1" s="335"/>
      <c r="F1" s="335"/>
      <c r="G1" s="335"/>
      <c r="H1" s="335"/>
      <c r="I1" s="335"/>
      <c r="J1" s="335"/>
    </row>
    <row r="2" spans="1:10" s="275" customFormat="1" ht="23.25" x14ac:dyDescent="0.35">
      <c r="A2" s="276" t="s">
        <v>547</v>
      </c>
      <c r="B2" s="277"/>
      <c r="C2" s="277"/>
      <c r="D2" s="277"/>
      <c r="E2" s="277"/>
      <c r="F2" s="277"/>
      <c r="G2" s="277"/>
      <c r="H2" s="277"/>
      <c r="I2" s="277"/>
      <c r="J2" s="277"/>
    </row>
    <row r="3" spans="1:10" s="220" customFormat="1" ht="18.75" x14ac:dyDescent="0.3">
      <c r="A3" s="336" t="s">
        <v>548</v>
      </c>
      <c r="B3" s="337" t="s">
        <v>549</v>
      </c>
      <c r="C3" s="337"/>
      <c r="D3" s="337"/>
      <c r="E3" s="337" t="s">
        <v>550</v>
      </c>
      <c r="F3" s="337"/>
      <c r="G3" s="337"/>
      <c r="H3" s="337" t="s">
        <v>4</v>
      </c>
      <c r="I3" s="337"/>
      <c r="J3" s="337"/>
    </row>
    <row r="4" spans="1:10" s="220" customFormat="1" ht="56.25" x14ac:dyDescent="0.3">
      <c r="A4" s="336"/>
      <c r="B4" s="95" t="s">
        <v>491</v>
      </c>
      <c r="C4" s="95" t="s">
        <v>492</v>
      </c>
      <c r="D4" s="95" t="s">
        <v>412</v>
      </c>
      <c r="E4" s="95" t="s">
        <v>491</v>
      </c>
      <c r="F4" s="95" t="s">
        <v>492</v>
      </c>
      <c r="G4" s="95" t="s">
        <v>412</v>
      </c>
      <c r="H4" s="278" t="s">
        <v>488</v>
      </c>
      <c r="I4" s="278" t="s">
        <v>489</v>
      </c>
      <c r="J4" s="278" t="s">
        <v>490</v>
      </c>
    </row>
    <row r="5" spans="1:10" s="220" customFormat="1" ht="18.75" x14ac:dyDescent="0.3">
      <c r="A5" s="279" t="s">
        <v>494</v>
      </c>
      <c r="B5" s="226">
        <v>144912121.08000001</v>
      </c>
      <c r="C5" s="280">
        <v>0</v>
      </c>
      <c r="D5" s="280">
        <f>SUM(B5:C5)</f>
        <v>144912121.08000001</v>
      </c>
      <c r="E5" s="280">
        <v>122907077.48000002</v>
      </c>
      <c r="F5" s="280">
        <v>0</v>
      </c>
      <c r="G5" s="280">
        <f>SUM(E5:F5)</f>
        <v>122907077.48000002</v>
      </c>
      <c r="H5" s="281">
        <f t="shared" ref="H5:J8" si="0">(E5-B5)/B5*100</f>
        <v>-15.185095239791513</v>
      </c>
      <c r="I5" s="281" t="e">
        <f t="shared" si="0"/>
        <v>#DIV/0!</v>
      </c>
      <c r="J5" s="281">
        <f t="shared" si="0"/>
        <v>-15.185095239791513</v>
      </c>
    </row>
    <row r="6" spans="1:10" s="220" customFormat="1" ht="37.5" x14ac:dyDescent="0.3">
      <c r="A6" s="282" t="s">
        <v>551</v>
      </c>
      <c r="B6" s="280">
        <v>0</v>
      </c>
      <c r="C6" s="280">
        <v>13201918.640000001</v>
      </c>
      <c r="D6" s="280">
        <f>SUM(B6:C6)</f>
        <v>13201918.640000001</v>
      </c>
      <c r="E6" s="280">
        <v>0</v>
      </c>
      <c r="F6" s="280">
        <v>35884588.140000001</v>
      </c>
      <c r="G6" s="280">
        <f>SUM(E6:F6)</f>
        <v>35884588.140000001</v>
      </c>
      <c r="H6" s="281" t="e">
        <f t="shared" si="0"/>
        <v>#DIV/0!</v>
      </c>
      <c r="I6" s="281">
        <f t="shared" si="0"/>
        <v>171.81343196037147</v>
      </c>
      <c r="J6" s="281">
        <f t="shared" si="0"/>
        <v>171.81343196037147</v>
      </c>
    </row>
    <row r="7" spans="1:10" s="220" customFormat="1" ht="18.75" x14ac:dyDescent="0.3">
      <c r="A7" s="282" t="s">
        <v>552</v>
      </c>
      <c r="B7" s="280">
        <v>12120000</v>
      </c>
      <c r="C7" s="280">
        <v>0</v>
      </c>
      <c r="D7" s="280">
        <f>SUM(B7:C7)</f>
        <v>12120000</v>
      </c>
      <c r="E7" s="280">
        <v>12025126.240000004</v>
      </c>
      <c r="F7" s="280"/>
      <c r="G7" s="280">
        <f>SUM(E7:F7)</f>
        <v>12025126.240000004</v>
      </c>
      <c r="H7" s="281">
        <f t="shared" si="0"/>
        <v>-0.78278679867983536</v>
      </c>
      <c r="I7" s="281" t="e">
        <f t="shared" si="0"/>
        <v>#DIV/0!</v>
      </c>
      <c r="J7" s="281">
        <f t="shared" si="0"/>
        <v>-0.78278679867983536</v>
      </c>
    </row>
    <row r="8" spans="1:10" s="220" customFormat="1" ht="18.75" x14ac:dyDescent="0.3">
      <c r="A8" s="283" t="s">
        <v>412</v>
      </c>
      <c r="B8" s="280">
        <f t="shared" ref="B8:G8" si="1">SUM(B5:B7)</f>
        <v>157032121.08000001</v>
      </c>
      <c r="C8" s="280">
        <f t="shared" si="1"/>
        <v>13201918.640000001</v>
      </c>
      <c r="D8" s="280">
        <f t="shared" si="1"/>
        <v>170234039.72000003</v>
      </c>
      <c r="E8" s="280">
        <f t="shared" si="1"/>
        <v>134932203.72000003</v>
      </c>
      <c r="F8" s="280">
        <f t="shared" si="1"/>
        <v>35884588.140000001</v>
      </c>
      <c r="G8" s="280">
        <f t="shared" si="1"/>
        <v>170816791.86000001</v>
      </c>
      <c r="H8" s="281">
        <f t="shared" si="0"/>
        <v>-14.073501146138872</v>
      </c>
      <c r="I8" s="281">
        <f t="shared" si="0"/>
        <v>171.81343196037147</v>
      </c>
      <c r="J8" s="281">
        <f t="shared" si="0"/>
        <v>0.34232409743579667</v>
      </c>
    </row>
    <row r="9" spans="1:10" s="220" customFormat="1" ht="18.75" x14ac:dyDescent="0.3"/>
    <row r="10" spans="1:10" s="220" customFormat="1" ht="18.75" x14ac:dyDescent="0.3"/>
    <row r="11" spans="1:10" s="220" customFormat="1" ht="18.75" x14ac:dyDescent="0.3">
      <c r="G11" s="284"/>
    </row>
    <row r="12" spans="1:10" s="220" customFormat="1" ht="18.75" x14ac:dyDescent="0.3">
      <c r="D12" s="227"/>
      <c r="E12" s="227"/>
      <c r="F12" s="227"/>
      <c r="G12" s="227"/>
    </row>
    <row r="13" spans="1:10" s="220" customFormat="1" ht="18.75" x14ac:dyDescent="0.3"/>
    <row r="14" spans="1:10" s="220" customFormat="1" ht="18.75" x14ac:dyDescent="0.3">
      <c r="D14" s="284"/>
      <c r="E14" s="284"/>
      <c r="F14" s="284"/>
      <c r="G14" s="284"/>
    </row>
    <row r="15" spans="1:10" s="220" customFormat="1" ht="18.75" x14ac:dyDescent="0.3"/>
    <row r="16" spans="1:10" s="220" customFormat="1" ht="18.75" x14ac:dyDescent="0.3"/>
    <row r="17" s="285" customFormat="1" ht="21" x14ac:dyDescent="0.35"/>
    <row r="18" s="285" customFormat="1" ht="21" x14ac:dyDescent="0.35"/>
    <row r="19" s="285" customFormat="1" ht="21" x14ac:dyDescent="0.35"/>
    <row r="20" s="285" customFormat="1" ht="21" x14ac:dyDescent="0.35"/>
    <row r="21" s="285" customFormat="1" ht="21" x14ac:dyDescent="0.35"/>
    <row r="22" s="285" customFormat="1" ht="21" x14ac:dyDescent="0.35"/>
    <row r="23" s="285" customFormat="1" ht="21" x14ac:dyDescent="0.35"/>
    <row r="24" s="285" customFormat="1" ht="21" x14ac:dyDescent="0.35"/>
    <row r="25" s="285" customFormat="1" ht="21" x14ac:dyDescent="0.35"/>
    <row r="26" s="285" customFormat="1" ht="21" x14ac:dyDescent="0.35"/>
    <row r="27" s="285" customFormat="1" ht="21" x14ac:dyDescent="0.35"/>
    <row r="28" s="285" customFormat="1" ht="21" x14ac:dyDescent="0.35"/>
    <row r="29" s="285" customFormat="1" ht="21" x14ac:dyDescent="0.35"/>
  </sheetData>
  <mergeCells count="5">
    <mergeCell ref="A1:J1"/>
    <mergeCell ref="A3:A4"/>
    <mergeCell ref="B3:D3"/>
    <mergeCell ref="E3:G3"/>
    <mergeCell ref="H3:J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election activeCell="A3" sqref="A3"/>
    </sheetView>
  </sheetViews>
  <sheetFormatPr defaultRowHeight="13.5" x14ac:dyDescent="0.2"/>
  <cols>
    <col min="1" max="1" width="150" style="293" bestFit="1" customWidth="1"/>
    <col min="2" max="256" width="9" style="108"/>
    <col min="257" max="257" width="150" style="108" bestFit="1" customWidth="1"/>
    <col min="258" max="512" width="9" style="108"/>
    <col min="513" max="513" width="150" style="108" bestFit="1" customWidth="1"/>
    <col min="514" max="768" width="9" style="108"/>
    <col min="769" max="769" width="150" style="108" bestFit="1" customWidth="1"/>
    <col min="770" max="1024" width="9" style="108"/>
    <col min="1025" max="1025" width="150" style="108" bestFit="1" customWidth="1"/>
    <col min="1026" max="1280" width="9" style="108"/>
    <col min="1281" max="1281" width="150" style="108" bestFit="1" customWidth="1"/>
    <col min="1282" max="1536" width="9" style="108"/>
    <col min="1537" max="1537" width="150" style="108" bestFit="1" customWidth="1"/>
    <col min="1538" max="1792" width="9" style="108"/>
    <col min="1793" max="1793" width="150" style="108" bestFit="1" customWidth="1"/>
    <col min="1794" max="2048" width="9" style="108"/>
    <col min="2049" max="2049" width="150" style="108" bestFit="1" customWidth="1"/>
    <col min="2050" max="2304" width="9" style="108"/>
    <col min="2305" max="2305" width="150" style="108" bestFit="1" customWidth="1"/>
    <col min="2306" max="2560" width="9" style="108"/>
    <col min="2561" max="2561" width="150" style="108" bestFit="1" customWidth="1"/>
    <col min="2562" max="2816" width="9" style="108"/>
    <col min="2817" max="2817" width="150" style="108" bestFit="1" customWidth="1"/>
    <col min="2818" max="3072" width="9" style="108"/>
    <col min="3073" max="3073" width="150" style="108" bestFit="1" customWidth="1"/>
    <col min="3074" max="3328" width="9" style="108"/>
    <col min="3329" max="3329" width="150" style="108" bestFit="1" customWidth="1"/>
    <col min="3330" max="3584" width="9" style="108"/>
    <col min="3585" max="3585" width="150" style="108" bestFit="1" customWidth="1"/>
    <col min="3586" max="3840" width="9" style="108"/>
    <col min="3841" max="3841" width="150" style="108" bestFit="1" customWidth="1"/>
    <col min="3842" max="4096" width="9" style="108"/>
    <col min="4097" max="4097" width="150" style="108" bestFit="1" customWidth="1"/>
    <col min="4098" max="4352" width="9" style="108"/>
    <col min="4353" max="4353" width="150" style="108" bestFit="1" customWidth="1"/>
    <col min="4354" max="4608" width="9" style="108"/>
    <col min="4609" max="4609" width="150" style="108" bestFit="1" customWidth="1"/>
    <col min="4610" max="4864" width="9" style="108"/>
    <col min="4865" max="4865" width="150" style="108" bestFit="1" customWidth="1"/>
    <col min="4866" max="5120" width="9" style="108"/>
    <col min="5121" max="5121" width="150" style="108" bestFit="1" customWidth="1"/>
    <col min="5122" max="5376" width="9" style="108"/>
    <col min="5377" max="5377" width="150" style="108" bestFit="1" customWidth="1"/>
    <col min="5378" max="5632" width="9" style="108"/>
    <col min="5633" max="5633" width="150" style="108" bestFit="1" customWidth="1"/>
    <col min="5634" max="5888" width="9" style="108"/>
    <col min="5889" max="5889" width="150" style="108" bestFit="1" customWidth="1"/>
    <col min="5890" max="6144" width="9" style="108"/>
    <col min="6145" max="6145" width="150" style="108" bestFit="1" customWidth="1"/>
    <col min="6146" max="6400" width="9" style="108"/>
    <col min="6401" max="6401" width="150" style="108" bestFit="1" customWidth="1"/>
    <col min="6402" max="6656" width="9" style="108"/>
    <col min="6657" max="6657" width="150" style="108" bestFit="1" customWidth="1"/>
    <col min="6658" max="6912" width="9" style="108"/>
    <col min="6913" max="6913" width="150" style="108" bestFit="1" customWidth="1"/>
    <col min="6914" max="7168" width="9" style="108"/>
    <col min="7169" max="7169" width="150" style="108" bestFit="1" customWidth="1"/>
    <col min="7170" max="7424" width="9" style="108"/>
    <col min="7425" max="7425" width="150" style="108" bestFit="1" customWidth="1"/>
    <col min="7426" max="7680" width="9" style="108"/>
    <col min="7681" max="7681" width="150" style="108" bestFit="1" customWidth="1"/>
    <col min="7682" max="7936" width="9" style="108"/>
    <col min="7937" max="7937" width="150" style="108" bestFit="1" customWidth="1"/>
    <col min="7938" max="8192" width="9" style="108"/>
    <col min="8193" max="8193" width="150" style="108" bestFit="1" customWidth="1"/>
    <col min="8194" max="8448" width="9" style="108"/>
    <col min="8449" max="8449" width="150" style="108" bestFit="1" customWidth="1"/>
    <col min="8450" max="8704" width="9" style="108"/>
    <col min="8705" max="8705" width="150" style="108" bestFit="1" customWidth="1"/>
    <col min="8706" max="8960" width="9" style="108"/>
    <col min="8961" max="8961" width="150" style="108" bestFit="1" customWidth="1"/>
    <col min="8962" max="9216" width="9" style="108"/>
    <col min="9217" max="9217" width="150" style="108" bestFit="1" customWidth="1"/>
    <col min="9218" max="9472" width="9" style="108"/>
    <col min="9473" max="9473" width="150" style="108" bestFit="1" customWidth="1"/>
    <col min="9474" max="9728" width="9" style="108"/>
    <col min="9729" max="9729" width="150" style="108" bestFit="1" customWidth="1"/>
    <col min="9730" max="9984" width="9" style="108"/>
    <col min="9985" max="9985" width="150" style="108" bestFit="1" customWidth="1"/>
    <col min="9986" max="10240" width="9" style="108"/>
    <col min="10241" max="10241" width="150" style="108" bestFit="1" customWidth="1"/>
    <col min="10242" max="10496" width="9" style="108"/>
    <col min="10497" max="10497" width="150" style="108" bestFit="1" customWidth="1"/>
    <col min="10498" max="10752" width="9" style="108"/>
    <col min="10753" max="10753" width="150" style="108" bestFit="1" customWidth="1"/>
    <col min="10754" max="11008" width="9" style="108"/>
    <col min="11009" max="11009" width="150" style="108" bestFit="1" customWidth="1"/>
    <col min="11010" max="11264" width="9" style="108"/>
    <col min="11265" max="11265" width="150" style="108" bestFit="1" customWidth="1"/>
    <col min="11266" max="11520" width="9" style="108"/>
    <col min="11521" max="11521" width="150" style="108" bestFit="1" customWidth="1"/>
    <col min="11522" max="11776" width="9" style="108"/>
    <col min="11777" max="11777" width="150" style="108" bestFit="1" customWidth="1"/>
    <col min="11778" max="12032" width="9" style="108"/>
    <col min="12033" max="12033" width="150" style="108" bestFit="1" customWidth="1"/>
    <col min="12034" max="12288" width="9" style="108"/>
    <col min="12289" max="12289" width="150" style="108" bestFit="1" customWidth="1"/>
    <col min="12290" max="12544" width="9" style="108"/>
    <col min="12545" max="12545" width="150" style="108" bestFit="1" customWidth="1"/>
    <col min="12546" max="12800" width="9" style="108"/>
    <col min="12801" max="12801" width="150" style="108" bestFit="1" customWidth="1"/>
    <col min="12802" max="13056" width="9" style="108"/>
    <col min="13057" max="13057" width="150" style="108" bestFit="1" customWidth="1"/>
    <col min="13058" max="13312" width="9" style="108"/>
    <col min="13313" max="13313" width="150" style="108" bestFit="1" customWidth="1"/>
    <col min="13314" max="13568" width="9" style="108"/>
    <col min="13569" max="13569" width="150" style="108" bestFit="1" customWidth="1"/>
    <col min="13570" max="13824" width="9" style="108"/>
    <col min="13825" max="13825" width="150" style="108" bestFit="1" customWidth="1"/>
    <col min="13826" max="14080" width="9" style="108"/>
    <col min="14081" max="14081" width="150" style="108" bestFit="1" customWidth="1"/>
    <col min="14082" max="14336" width="9" style="108"/>
    <col min="14337" max="14337" width="150" style="108" bestFit="1" customWidth="1"/>
    <col min="14338" max="14592" width="9" style="108"/>
    <col min="14593" max="14593" width="150" style="108" bestFit="1" customWidth="1"/>
    <col min="14594" max="14848" width="9" style="108"/>
    <col min="14849" max="14849" width="150" style="108" bestFit="1" customWidth="1"/>
    <col min="14850" max="15104" width="9" style="108"/>
    <col min="15105" max="15105" width="150" style="108" bestFit="1" customWidth="1"/>
    <col min="15106" max="15360" width="9" style="108"/>
    <col min="15361" max="15361" width="150" style="108" bestFit="1" customWidth="1"/>
    <col min="15362" max="15616" width="9" style="108"/>
    <col min="15617" max="15617" width="150" style="108" bestFit="1" customWidth="1"/>
    <col min="15618" max="15872" width="9" style="108"/>
    <col min="15873" max="15873" width="150" style="108" bestFit="1" customWidth="1"/>
    <col min="15874" max="16128" width="9" style="108"/>
    <col min="16129" max="16129" width="150" style="108" bestFit="1" customWidth="1"/>
    <col min="16130" max="16384" width="9" style="108"/>
  </cols>
  <sheetData>
    <row r="1" spans="1:1" ht="69.75" x14ac:dyDescent="0.2">
      <c r="A1" s="338" t="s">
        <v>562</v>
      </c>
    </row>
    <row r="2" spans="1:1" ht="23.25" x14ac:dyDescent="0.2">
      <c r="A2" s="339"/>
    </row>
    <row r="3" spans="1:1" s="112" customFormat="1" ht="189" x14ac:dyDescent="0.2">
      <c r="A3" s="340" t="s">
        <v>563</v>
      </c>
    </row>
    <row r="4" spans="1:1" s="112" customFormat="1" ht="21" x14ac:dyDescent="0.2">
      <c r="A4" s="340" t="s">
        <v>564</v>
      </c>
    </row>
    <row r="5" spans="1:1" s="112" customFormat="1" ht="21" x14ac:dyDescent="0.2">
      <c r="A5" s="341" t="s">
        <v>565</v>
      </c>
    </row>
    <row r="6" spans="1:1" s="112" customFormat="1" ht="21" x14ac:dyDescent="0.2">
      <c r="A6" s="340" t="s">
        <v>566</v>
      </c>
    </row>
    <row r="7" spans="1:1" s="112" customFormat="1" ht="21" x14ac:dyDescent="0.2">
      <c r="A7" s="340" t="s">
        <v>567</v>
      </c>
    </row>
    <row r="8" spans="1:1" s="112" customFormat="1" ht="21" x14ac:dyDescent="0.2">
      <c r="A8" s="340" t="s">
        <v>568</v>
      </c>
    </row>
    <row r="9" spans="1:1" s="112" customFormat="1" ht="21" x14ac:dyDescent="0.2">
      <c r="A9" s="340" t="s">
        <v>569</v>
      </c>
    </row>
    <row r="10" spans="1:1" s="112" customFormat="1" ht="21" x14ac:dyDescent="0.2">
      <c r="A10" s="340" t="s">
        <v>570</v>
      </c>
    </row>
    <row r="11" spans="1:1" s="342" customFormat="1" ht="21" x14ac:dyDescent="0.2">
      <c r="A11" s="290" t="s">
        <v>571</v>
      </c>
    </row>
    <row r="12" spans="1:1" s="112" customFormat="1" ht="21" x14ac:dyDescent="0.2">
      <c r="A12" s="340" t="s">
        <v>572</v>
      </c>
    </row>
    <row r="13" spans="1:1" s="112" customFormat="1" ht="21" x14ac:dyDescent="0.2">
      <c r="A13" s="340" t="s">
        <v>573</v>
      </c>
    </row>
    <row r="14" spans="1:1" s="112" customFormat="1" ht="21" x14ac:dyDescent="0.2">
      <c r="A14" s="340" t="s">
        <v>574</v>
      </c>
    </row>
    <row r="15" spans="1:1" s="112" customFormat="1" ht="21" x14ac:dyDescent="0.2">
      <c r="A15" s="340" t="s">
        <v>575</v>
      </c>
    </row>
    <row r="16" spans="1:1" s="112" customFormat="1" ht="21" x14ac:dyDescent="0.2">
      <c r="A16" s="340" t="s">
        <v>576</v>
      </c>
    </row>
    <row r="17" spans="1:1" s="112" customFormat="1" ht="21" x14ac:dyDescent="0.2">
      <c r="A17" s="340" t="s">
        <v>577</v>
      </c>
    </row>
    <row r="18" spans="1:1" s="112" customFormat="1" ht="21" x14ac:dyDescent="0.2">
      <c r="A18" s="340" t="s">
        <v>578</v>
      </c>
    </row>
    <row r="19" spans="1:1" s="112" customFormat="1" ht="21" x14ac:dyDescent="0.2">
      <c r="A19" s="340" t="s">
        <v>579</v>
      </c>
    </row>
    <row r="20" spans="1:1" s="112" customFormat="1" ht="21" x14ac:dyDescent="0.2">
      <c r="A20" s="340" t="s">
        <v>580</v>
      </c>
    </row>
    <row r="21" spans="1:1" s="112" customFormat="1" ht="21" x14ac:dyDescent="0.2">
      <c r="A21" s="340" t="s">
        <v>581</v>
      </c>
    </row>
    <row r="22" spans="1:1" s="112" customFormat="1" ht="21" x14ac:dyDescent="0.2">
      <c r="A22" s="340" t="s">
        <v>582</v>
      </c>
    </row>
    <row r="23" spans="1:1" s="112" customFormat="1" ht="21" x14ac:dyDescent="0.2">
      <c r="A23" s="340"/>
    </row>
    <row r="24" spans="1:1" s="112" customFormat="1" ht="42" x14ac:dyDescent="0.2">
      <c r="A24" s="340" t="s">
        <v>583</v>
      </c>
    </row>
    <row r="25" spans="1:1" x14ac:dyDescent="0.2">
      <c r="A25" s="343"/>
    </row>
    <row r="26" spans="1:1" x14ac:dyDescent="0.2">
      <c r="A26" s="343"/>
    </row>
    <row r="27" spans="1:1" x14ac:dyDescent="0.2">
      <c r="A27" s="343"/>
    </row>
    <row r="28" spans="1:1" x14ac:dyDescent="0.2">
      <c r="A28" s="343"/>
    </row>
    <row r="29" spans="1:1" x14ac:dyDescent="0.2">
      <c r="A29" s="343"/>
    </row>
    <row r="30" spans="1:1" x14ac:dyDescent="0.2">
      <c r="A30" s="343"/>
    </row>
    <row r="31" spans="1:1" x14ac:dyDescent="0.2">
      <c r="A31" s="3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B6" sqref="B6"/>
    </sheetView>
  </sheetViews>
  <sheetFormatPr defaultRowHeight="18.75" x14ac:dyDescent="0.3"/>
  <cols>
    <col min="1" max="1" width="18.625" style="115" customWidth="1"/>
    <col min="2" max="2" width="112.375" style="115" customWidth="1"/>
    <col min="3" max="256" width="9" style="108"/>
    <col min="257" max="257" width="18.625" style="108" customWidth="1"/>
    <col min="258" max="258" width="112.375" style="108" customWidth="1"/>
    <col min="259" max="512" width="9" style="108"/>
    <col min="513" max="513" width="18.625" style="108" customWidth="1"/>
    <col min="514" max="514" width="112.375" style="108" customWidth="1"/>
    <col min="515" max="768" width="9" style="108"/>
    <col min="769" max="769" width="18.625" style="108" customWidth="1"/>
    <col min="770" max="770" width="112.375" style="108" customWidth="1"/>
    <col min="771" max="1024" width="9" style="108"/>
    <col min="1025" max="1025" width="18.625" style="108" customWidth="1"/>
    <col min="1026" max="1026" width="112.375" style="108" customWidth="1"/>
    <col min="1027" max="1280" width="9" style="108"/>
    <col min="1281" max="1281" width="18.625" style="108" customWidth="1"/>
    <col min="1282" max="1282" width="112.375" style="108" customWidth="1"/>
    <col min="1283" max="1536" width="9" style="108"/>
    <col min="1537" max="1537" width="18.625" style="108" customWidth="1"/>
    <col min="1538" max="1538" width="112.375" style="108" customWidth="1"/>
    <col min="1539" max="1792" width="9" style="108"/>
    <col min="1793" max="1793" width="18.625" style="108" customWidth="1"/>
    <col min="1794" max="1794" width="112.375" style="108" customWidth="1"/>
    <col min="1795" max="2048" width="9" style="108"/>
    <col min="2049" max="2049" width="18.625" style="108" customWidth="1"/>
    <col min="2050" max="2050" width="112.375" style="108" customWidth="1"/>
    <col min="2051" max="2304" width="9" style="108"/>
    <col min="2305" max="2305" width="18.625" style="108" customWidth="1"/>
    <col min="2306" max="2306" width="112.375" style="108" customWidth="1"/>
    <col min="2307" max="2560" width="9" style="108"/>
    <col min="2561" max="2561" width="18.625" style="108" customWidth="1"/>
    <col min="2562" max="2562" width="112.375" style="108" customWidth="1"/>
    <col min="2563" max="2816" width="9" style="108"/>
    <col min="2817" max="2817" width="18.625" style="108" customWidth="1"/>
    <col min="2818" max="2818" width="112.375" style="108" customWidth="1"/>
    <col min="2819" max="3072" width="9" style="108"/>
    <col min="3073" max="3073" width="18.625" style="108" customWidth="1"/>
    <col min="3074" max="3074" width="112.375" style="108" customWidth="1"/>
    <col min="3075" max="3328" width="9" style="108"/>
    <col min="3329" max="3329" width="18.625" style="108" customWidth="1"/>
    <col min="3330" max="3330" width="112.375" style="108" customWidth="1"/>
    <col min="3331" max="3584" width="9" style="108"/>
    <col min="3585" max="3585" width="18.625" style="108" customWidth="1"/>
    <col min="3586" max="3586" width="112.375" style="108" customWidth="1"/>
    <col min="3587" max="3840" width="9" style="108"/>
    <col min="3841" max="3841" width="18.625" style="108" customWidth="1"/>
    <col min="3842" max="3842" width="112.375" style="108" customWidth="1"/>
    <col min="3843" max="4096" width="9" style="108"/>
    <col min="4097" max="4097" width="18.625" style="108" customWidth="1"/>
    <col min="4098" max="4098" width="112.375" style="108" customWidth="1"/>
    <col min="4099" max="4352" width="9" style="108"/>
    <col min="4353" max="4353" width="18.625" style="108" customWidth="1"/>
    <col min="4354" max="4354" width="112.375" style="108" customWidth="1"/>
    <col min="4355" max="4608" width="9" style="108"/>
    <col min="4609" max="4609" width="18.625" style="108" customWidth="1"/>
    <col min="4610" max="4610" width="112.375" style="108" customWidth="1"/>
    <col min="4611" max="4864" width="9" style="108"/>
    <col min="4865" max="4865" width="18.625" style="108" customWidth="1"/>
    <col min="4866" max="4866" width="112.375" style="108" customWidth="1"/>
    <col min="4867" max="5120" width="9" style="108"/>
    <col min="5121" max="5121" width="18.625" style="108" customWidth="1"/>
    <col min="5122" max="5122" width="112.375" style="108" customWidth="1"/>
    <col min="5123" max="5376" width="9" style="108"/>
    <col min="5377" max="5377" width="18.625" style="108" customWidth="1"/>
    <col min="5378" max="5378" width="112.375" style="108" customWidth="1"/>
    <col min="5379" max="5632" width="9" style="108"/>
    <col min="5633" max="5633" width="18.625" style="108" customWidth="1"/>
    <col min="5634" max="5634" width="112.375" style="108" customWidth="1"/>
    <col min="5635" max="5888" width="9" style="108"/>
    <col min="5889" max="5889" width="18.625" style="108" customWidth="1"/>
    <col min="5890" max="5890" width="112.375" style="108" customWidth="1"/>
    <col min="5891" max="6144" width="9" style="108"/>
    <col min="6145" max="6145" width="18.625" style="108" customWidth="1"/>
    <col min="6146" max="6146" width="112.375" style="108" customWidth="1"/>
    <col min="6147" max="6400" width="9" style="108"/>
    <col min="6401" max="6401" width="18.625" style="108" customWidth="1"/>
    <col min="6402" max="6402" width="112.375" style="108" customWidth="1"/>
    <col min="6403" max="6656" width="9" style="108"/>
    <col min="6657" max="6657" width="18.625" style="108" customWidth="1"/>
    <col min="6658" max="6658" width="112.375" style="108" customWidth="1"/>
    <col min="6659" max="6912" width="9" style="108"/>
    <col min="6913" max="6913" width="18.625" style="108" customWidth="1"/>
    <col min="6914" max="6914" width="112.375" style="108" customWidth="1"/>
    <col min="6915" max="7168" width="9" style="108"/>
    <col min="7169" max="7169" width="18.625" style="108" customWidth="1"/>
    <col min="7170" max="7170" width="112.375" style="108" customWidth="1"/>
    <col min="7171" max="7424" width="9" style="108"/>
    <col min="7425" max="7425" width="18.625" style="108" customWidth="1"/>
    <col min="7426" max="7426" width="112.375" style="108" customWidth="1"/>
    <col min="7427" max="7680" width="9" style="108"/>
    <col min="7681" max="7681" width="18.625" style="108" customWidth="1"/>
    <col min="7682" max="7682" width="112.375" style="108" customWidth="1"/>
    <col min="7683" max="7936" width="9" style="108"/>
    <col min="7937" max="7937" width="18.625" style="108" customWidth="1"/>
    <col min="7938" max="7938" width="112.375" style="108" customWidth="1"/>
    <col min="7939" max="8192" width="9" style="108"/>
    <col min="8193" max="8193" width="18.625" style="108" customWidth="1"/>
    <col min="8194" max="8194" width="112.375" style="108" customWidth="1"/>
    <col min="8195" max="8448" width="9" style="108"/>
    <col min="8449" max="8449" width="18.625" style="108" customWidth="1"/>
    <col min="8450" max="8450" width="112.375" style="108" customWidth="1"/>
    <col min="8451" max="8704" width="9" style="108"/>
    <col min="8705" max="8705" width="18.625" style="108" customWidth="1"/>
    <col min="8706" max="8706" width="112.375" style="108" customWidth="1"/>
    <col min="8707" max="8960" width="9" style="108"/>
    <col min="8961" max="8961" width="18.625" style="108" customWidth="1"/>
    <col min="8962" max="8962" width="112.375" style="108" customWidth="1"/>
    <col min="8963" max="9216" width="9" style="108"/>
    <col min="9217" max="9217" width="18.625" style="108" customWidth="1"/>
    <col min="9218" max="9218" width="112.375" style="108" customWidth="1"/>
    <col min="9219" max="9472" width="9" style="108"/>
    <col min="9473" max="9473" width="18.625" style="108" customWidth="1"/>
    <col min="9474" max="9474" width="112.375" style="108" customWidth="1"/>
    <col min="9475" max="9728" width="9" style="108"/>
    <col min="9729" max="9729" width="18.625" style="108" customWidth="1"/>
    <col min="9730" max="9730" width="112.375" style="108" customWidth="1"/>
    <col min="9731" max="9984" width="9" style="108"/>
    <col min="9985" max="9985" width="18.625" style="108" customWidth="1"/>
    <col min="9986" max="9986" width="112.375" style="108" customWidth="1"/>
    <col min="9987" max="10240" width="9" style="108"/>
    <col min="10241" max="10241" width="18.625" style="108" customWidth="1"/>
    <col min="10242" max="10242" width="112.375" style="108" customWidth="1"/>
    <col min="10243" max="10496" width="9" style="108"/>
    <col min="10497" max="10497" width="18.625" style="108" customWidth="1"/>
    <col min="10498" max="10498" width="112.375" style="108" customWidth="1"/>
    <col min="10499" max="10752" width="9" style="108"/>
    <col min="10753" max="10753" width="18.625" style="108" customWidth="1"/>
    <col min="10754" max="10754" width="112.375" style="108" customWidth="1"/>
    <col min="10755" max="11008" width="9" style="108"/>
    <col min="11009" max="11009" width="18.625" style="108" customWidth="1"/>
    <col min="11010" max="11010" width="112.375" style="108" customWidth="1"/>
    <col min="11011" max="11264" width="9" style="108"/>
    <col min="11265" max="11265" width="18.625" style="108" customWidth="1"/>
    <col min="11266" max="11266" width="112.375" style="108" customWidth="1"/>
    <col min="11267" max="11520" width="9" style="108"/>
    <col min="11521" max="11521" width="18.625" style="108" customWidth="1"/>
    <col min="11522" max="11522" width="112.375" style="108" customWidth="1"/>
    <col min="11523" max="11776" width="9" style="108"/>
    <col min="11777" max="11777" width="18.625" style="108" customWidth="1"/>
    <col min="11778" max="11778" width="112.375" style="108" customWidth="1"/>
    <col min="11779" max="12032" width="9" style="108"/>
    <col min="12033" max="12033" width="18.625" style="108" customWidth="1"/>
    <col min="12034" max="12034" width="112.375" style="108" customWidth="1"/>
    <col min="12035" max="12288" width="9" style="108"/>
    <col min="12289" max="12289" width="18.625" style="108" customWidth="1"/>
    <col min="12290" max="12290" width="112.375" style="108" customWidth="1"/>
    <col min="12291" max="12544" width="9" style="108"/>
    <col min="12545" max="12545" width="18.625" style="108" customWidth="1"/>
    <col min="12546" max="12546" width="112.375" style="108" customWidth="1"/>
    <col min="12547" max="12800" width="9" style="108"/>
    <col min="12801" max="12801" width="18.625" style="108" customWidth="1"/>
    <col min="12802" max="12802" width="112.375" style="108" customWidth="1"/>
    <col min="12803" max="13056" width="9" style="108"/>
    <col min="13057" max="13057" width="18.625" style="108" customWidth="1"/>
    <col min="13058" max="13058" width="112.375" style="108" customWidth="1"/>
    <col min="13059" max="13312" width="9" style="108"/>
    <col min="13313" max="13313" width="18.625" style="108" customWidth="1"/>
    <col min="13314" max="13314" width="112.375" style="108" customWidth="1"/>
    <col min="13315" max="13568" width="9" style="108"/>
    <col min="13569" max="13569" width="18.625" style="108" customWidth="1"/>
    <col min="13570" max="13570" width="112.375" style="108" customWidth="1"/>
    <col min="13571" max="13824" width="9" style="108"/>
    <col min="13825" max="13825" width="18.625" style="108" customWidth="1"/>
    <col min="13826" max="13826" width="112.375" style="108" customWidth="1"/>
    <col min="13827" max="14080" width="9" style="108"/>
    <col min="14081" max="14081" width="18.625" style="108" customWidth="1"/>
    <col min="14082" max="14082" width="112.375" style="108" customWidth="1"/>
    <col min="14083" max="14336" width="9" style="108"/>
    <col min="14337" max="14337" width="18.625" style="108" customWidth="1"/>
    <col min="14338" max="14338" width="112.375" style="108" customWidth="1"/>
    <col min="14339" max="14592" width="9" style="108"/>
    <col min="14593" max="14593" width="18.625" style="108" customWidth="1"/>
    <col min="14594" max="14594" width="112.375" style="108" customWidth="1"/>
    <col min="14595" max="14848" width="9" style="108"/>
    <col min="14849" max="14849" width="18.625" style="108" customWidth="1"/>
    <col min="14850" max="14850" width="112.375" style="108" customWidth="1"/>
    <col min="14851" max="15104" width="9" style="108"/>
    <col min="15105" max="15105" width="18.625" style="108" customWidth="1"/>
    <col min="15106" max="15106" width="112.375" style="108" customWidth="1"/>
    <col min="15107" max="15360" width="9" style="108"/>
    <col min="15361" max="15361" width="18.625" style="108" customWidth="1"/>
    <col min="15362" max="15362" width="112.375" style="108" customWidth="1"/>
    <col min="15363" max="15616" width="9" style="108"/>
    <col min="15617" max="15617" width="18.625" style="108" customWidth="1"/>
    <col min="15618" max="15618" width="112.375" style="108" customWidth="1"/>
    <col min="15619" max="15872" width="9" style="108"/>
    <col min="15873" max="15873" width="18.625" style="108" customWidth="1"/>
    <col min="15874" max="15874" width="112.375" style="108" customWidth="1"/>
    <col min="15875" max="16128" width="9" style="108"/>
    <col min="16129" max="16129" width="18.625" style="108" customWidth="1"/>
    <col min="16130" max="16130" width="112.375" style="108" customWidth="1"/>
    <col min="16131" max="16384" width="9" style="108"/>
  </cols>
  <sheetData>
    <row r="1" spans="1:2" ht="21" x14ac:dyDescent="0.35">
      <c r="A1" s="106" t="s">
        <v>300</v>
      </c>
      <c r="B1" s="107"/>
    </row>
    <row r="2" spans="1:2" ht="21" x14ac:dyDescent="0.35">
      <c r="A2" s="109" t="s">
        <v>301</v>
      </c>
      <c r="B2" s="107"/>
    </row>
    <row r="3" spans="1:2" s="112" customFormat="1" x14ac:dyDescent="0.2">
      <c r="A3" s="110"/>
      <c r="B3" s="111"/>
    </row>
    <row r="4" spans="1:2" s="112" customFormat="1" x14ac:dyDescent="0.2">
      <c r="A4" s="113" t="s">
        <v>21</v>
      </c>
      <c r="B4" s="111" t="s">
        <v>302</v>
      </c>
    </row>
    <row r="5" spans="1:2" s="112" customFormat="1" ht="63" x14ac:dyDescent="0.2">
      <c r="A5" s="113" t="s">
        <v>24</v>
      </c>
      <c r="B5" s="111" t="s">
        <v>303</v>
      </c>
    </row>
    <row r="6" spans="1:2" s="112" customFormat="1" ht="47.25" x14ac:dyDescent="0.2">
      <c r="A6" s="113" t="s">
        <v>30</v>
      </c>
      <c r="B6" s="111" t="s">
        <v>304</v>
      </c>
    </row>
    <row r="7" spans="1:2" s="112" customFormat="1" ht="63" x14ac:dyDescent="0.2">
      <c r="A7" s="113" t="s">
        <v>76</v>
      </c>
      <c r="B7" s="111" t="s">
        <v>305</v>
      </c>
    </row>
    <row r="8" spans="1:2" s="112" customFormat="1" ht="47.25" x14ac:dyDescent="0.2">
      <c r="A8" s="113" t="s">
        <v>80</v>
      </c>
      <c r="B8" s="111" t="s">
        <v>306</v>
      </c>
    </row>
    <row r="9" spans="1:2" x14ac:dyDescent="0.2">
      <c r="A9" s="113" t="s">
        <v>81</v>
      </c>
      <c r="B9" s="111" t="s">
        <v>307</v>
      </c>
    </row>
    <row r="10" spans="1:2" ht="79.5" customHeight="1" x14ac:dyDescent="0.2">
      <c r="A10" s="113" t="s">
        <v>88</v>
      </c>
      <c r="B10" s="111" t="s">
        <v>308</v>
      </c>
    </row>
    <row r="11" spans="1:2" ht="33.75" customHeight="1" x14ac:dyDescent="0.2">
      <c r="A11" s="113" t="s">
        <v>98</v>
      </c>
      <c r="B11" s="111" t="s">
        <v>309</v>
      </c>
    </row>
    <row r="12" spans="1:2" ht="48" customHeight="1" x14ac:dyDescent="0.2">
      <c r="A12" s="113" t="s">
        <v>104</v>
      </c>
      <c r="B12" s="111" t="s">
        <v>310</v>
      </c>
    </row>
    <row r="13" spans="1:2" ht="51.75" customHeight="1" x14ac:dyDescent="0.2">
      <c r="A13" s="113" t="s">
        <v>106</v>
      </c>
      <c r="B13" s="111" t="s">
        <v>311</v>
      </c>
    </row>
    <row r="14" spans="1:2" ht="40.5" customHeight="1" x14ac:dyDescent="0.2">
      <c r="A14" s="113" t="s">
        <v>110</v>
      </c>
      <c r="B14" s="111" t="s">
        <v>312</v>
      </c>
    </row>
    <row r="15" spans="1:2" ht="36" customHeight="1" x14ac:dyDescent="0.2">
      <c r="A15" s="113" t="s">
        <v>118</v>
      </c>
      <c r="B15" s="111" t="s">
        <v>313</v>
      </c>
    </row>
    <row r="16" spans="1:2" ht="48" customHeight="1" x14ac:dyDescent="0.2">
      <c r="A16" s="113" t="s">
        <v>191</v>
      </c>
      <c r="B16" s="111" t="s">
        <v>314</v>
      </c>
    </row>
    <row r="17" spans="1:2" x14ac:dyDescent="0.2">
      <c r="A17" s="114"/>
      <c r="B17" s="114"/>
    </row>
    <row r="18" spans="1:2" x14ac:dyDescent="0.2">
      <c r="A18" s="114"/>
      <c r="B18" s="114"/>
    </row>
    <row r="19" spans="1:2" x14ac:dyDescent="0.2">
      <c r="A19" s="114"/>
      <c r="B19" s="114"/>
    </row>
    <row r="20" spans="1:2" x14ac:dyDescent="0.2">
      <c r="A20" s="114"/>
      <c r="B20" s="114"/>
    </row>
    <row r="21" spans="1:2" x14ac:dyDescent="0.2">
      <c r="A21" s="114"/>
      <c r="B21" s="114"/>
    </row>
    <row r="22" spans="1:2" x14ac:dyDescent="0.2">
      <c r="A22" s="114"/>
      <c r="B22" s="114"/>
    </row>
    <row r="23" spans="1:2" x14ac:dyDescent="0.2">
      <c r="A23" s="114"/>
      <c r="B23" s="114"/>
    </row>
    <row r="24" spans="1:2" x14ac:dyDescent="0.2">
      <c r="A24" s="114"/>
      <c r="B24" s="114"/>
    </row>
    <row r="25" spans="1:2" x14ac:dyDescent="0.2">
      <c r="A25" s="114"/>
      <c r="B25" s="114"/>
    </row>
    <row r="26" spans="1:2" x14ac:dyDescent="0.2">
      <c r="A26" s="114"/>
      <c r="B26" s="114"/>
    </row>
    <row r="27" spans="1:2" x14ac:dyDescent="0.2">
      <c r="A27" s="114"/>
      <c r="B27" s="114"/>
    </row>
    <row r="28" spans="1:2" x14ac:dyDescent="0.2">
      <c r="A28" s="114"/>
      <c r="B28" s="114"/>
    </row>
    <row r="29" spans="1:2" x14ac:dyDescent="0.2">
      <c r="A29" s="114"/>
      <c r="B29" s="114"/>
    </row>
    <row r="30" spans="1:2" x14ac:dyDescent="0.2">
      <c r="A30" s="114"/>
      <c r="B30" s="114"/>
    </row>
    <row r="31" spans="1:2" x14ac:dyDescent="0.2">
      <c r="A31" s="114"/>
      <c r="B31" s="114"/>
    </row>
    <row r="32" spans="1:2" x14ac:dyDescent="0.2">
      <c r="A32" s="114"/>
      <c r="B32" s="114"/>
    </row>
    <row r="33" spans="1:2" x14ac:dyDescent="0.2">
      <c r="A33" s="114"/>
      <c r="B33" s="114"/>
    </row>
    <row r="34" spans="1:2" x14ac:dyDescent="0.2">
      <c r="A34" s="114"/>
      <c r="B34" s="114"/>
    </row>
    <row r="35" spans="1:2" x14ac:dyDescent="0.2">
      <c r="A35" s="114"/>
      <c r="B35" s="114"/>
    </row>
    <row r="36" spans="1:2" x14ac:dyDescent="0.2">
      <c r="A36" s="114"/>
      <c r="B36" s="114"/>
    </row>
    <row r="37" spans="1:2" x14ac:dyDescent="0.2">
      <c r="A37" s="114"/>
      <c r="B37" s="114"/>
    </row>
    <row r="38" spans="1:2" x14ac:dyDescent="0.2">
      <c r="A38" s="114"/>
      <c r="B38" s="114"/>
    </row>
    <row r="39" spans="1:2" x14ac:dyDescent="0.2">
      <c r="A39" s="114"/>
      <c r="B39" s="114"/>
    </row>
    <row r="40" spans="1:2" x14ac:dyDescent="0.2">
      <c r="A40" s="114"/>
      <c r="B40" s="114"/>
    </row>
    <row r="41" spans="1:2" x14ac:dyDescent="0.2">
      <c r="A41" s="114"/>
      <c r="B41" s="114"/>
    </row>
    <row r="42" spans="1:2" x14ac:dyDescent="0.2">
      <c r="A42" s="114"/>
      <c r="B42" s="114"/>
    </row>
    <row r="43" spans="1:2" x14ac:dyDescent="0.2">
      <c r="A43" s="114"/>
      <c r="B43" s="114"/>
    </row>
    <row r="44" spans="1:2" x14ac:dyDescent="0.2">
      <c r="A44" s="114"/>
      <c r="B44" s="114"/>
    </row>
    <row r="45" spans="1:2" x14ac:dyDescent="0.2">
      <c r="A45" s="114"/>
      <c r="B45" s="114"/>
    </row>
    <row r="46" spans="1:2" x14ac:dyDescent="0.2">
      <c r="A46" s="114"/>
      <c r="B46" s="114"/>
    </row>
    <row r="47" spans="1:2" x14ac:dyDescent="0.2">
      <c r="A47" s="114"/>
      <c r="B47" s="114"/>
    </row>
    <row r="48" spans="1:2" x14ac:dyDescent="0.2">
      <c r="A48" s="114"/>
      <c r="B48" s="1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topLeftCell="G1" workbookViewId="0">
      <pane ySplit="5" topLeftCell="A92" activePane="bottomLeft" state="frozen"/>
      <selection pane="bottomLeft" activeCell="K101" sqref="K101"/>
    </sheetView>
  </sheetViews>
  <sheetFormatPr defaultColWidth="7.875" defaultRowHeight="15.75" x14ac:dyDescent="0.25"/>
  <cols>
    <col min="1" max="1" width="25.25" style="143" customWidth="1"/>
    <col min="2" max="2" width="12.75" style="150" customWidth="1"/>
    <col min="3" max="3" width="12.625" style="150" customWidth="1"/>
    <col min="4" max="4" width="11.5" style="150" customWidth="1"/>
    <col min="5" max="5" width="11.25" style="171" customWidth="1"/>
    <col min="6" max="6" width="12.625" style="150" customWidth="1"/>
    <col min="7" max="7" width="8.375" style="172" customWidth="1"/>
    <col min="8" max="8" width="7.25" style="169" customWidth="1"/>
    <col min="9" max="9" width="12.125" style="168" customWidth="1"/>
    <col min="10" max="10" width="14.5" style="168" bestFit="1" customWidth="1"/>
    <col min="11" max="11" width="14.375" style="168" customWidth="1"/>
    <col min="12" max="12" width="13.125" style="168" customWidth="1"/>
    <col min="13" max="13" width="19.25" style="168" customWidth="1"/>
    <col min="14" max="14" width="14.5" style="168" bestFit="1" customWidth="1"/>
    <col min="15" max="15" width="12.125" style="155" customWidth="1"/>
    <col min="16" max="17" width="12.125" style="168" customWidth="1"/>
    <col min="18" max="18" width="7.25" style="173" customWidth="1"/>
    <col min="19" max="19" width="7.125" style="173" customWidth="1"/>
    <col min="20" max="20" width="10.25" style="150" customWidth="1"/>
    <col min="21" max="23" width="7.875" style="143" customWidth="1"/>
    <col min="24" max="255" width="7.875" style="143"/>
    <col min="256" max="256" width="25.25" style="143" customWidth="1"/>
    <col min="257" max="261" width="0" style="143" hidden="1" customWidth="1"/>
    <col min="262" max="262" width="8.375" style="143" customWidth="1"/>
    <col min="263" max="263" width="7.25" style="143" customWidth="1"/>
    <col min="264" max="264" width="12.125" style="143" customWidth="1"/>
    <col min="265" max="270" width="0" style="143" hidden="1" customWidth="1"/>
    <col min="271" max="272" width="12.125" style="143" customWidth="1"/>
    <col min="273" max="273" width="7.25" style="143" customWidth="1"/>
    <col min="274" max="274" width="7.125" style="143" customWidth="1"/>
    <col min="275" max="275" width="10.25" style="143" customWidth="1"/>
    <col min="276" max="279" width="7.875" style="143" customWidth="1"/>
    <col min="280" max="511" width="7.875" style="143"/>
    <col min="512" max="512" width="25.25" style="143" customWidth="1"/>
    <col min="513" max="517" width="0" style="143" hidden="1" customWidth="1"/>
    <col min="518" max="518" width="8.375" style="143" customWidth="1"/>
    <col min="519" max="519" width="7.25" style="143" customWidth="1"/>
    <col min="520" max="520" width="12.125" style="143" customWidth="1"/>
    <col min="521" max="526" width="0" style="143" hidden="1" customWidth="1"/>
    <col min="527" max="528" width="12.125" style="143" customWidth="1"/>
    <col min="529" max="529" width="7.25" style="143" customWidth="1"/>
    <col min="530" max="530" width="7.125" style="143" customWidth="1"/>
    <col min="531" max="531" width="10.25" style="143" customWidth="1"/>
    <col min="532" max="535" width="7.875" style="143" customWidth="1"/>
    <col min="536" max="767" width="7.875" style="143"/>
    <col min="768" max="768" width="25.25" style="143" customWidth="1"/>
    <col min="769" max="773" width="0" style="143" hidden="1" customWidth="1"/>
    <col min="774" max="774" width="8.375" style="143" customWidth="1"/>
    <col min="775" max="775" width="7.25" style="143" customWidth="1"/>
    <col min="776" max="776" width="12.125" style="143" customWidth="1"/>
    <col min="777" max="782" width="0" style="143" hidden="1" customWidth="1"/>
    <col min="783" max="784" width="12.125" style="143" customWidth="1"/>
    <col min="785" max="785" width="7.25" style="143" customWidth="1"/>
    <col min="786" max="786" width="7.125" style="143" customWidth="1"/>
    <col min="787" max="787" width="10.25" style="143" customWidth="1"/>
    <col min="788" max="791" width="7.875" style="143" customWidth="1"/>
    <col min="792" max="1023" width="7.875" style="143"/>
    <col min="1024" max="1024" width="25.25" style="143" customWidth="1"/>
    <col min="1025" max="1029" width="0" style="143" hidden="1" customWidth="1"/>
    <col min="1030" max="1030" width="8.375" style="143" customWidth="1"/>
    <col min="1031" max="1031" width="7.25" style="143" customWidth="1"/>
    <col min="1032" max="1032" width="12.125" style="143" customWidth="1"/>
    <col min="1033" max="1038" width="0" style="143" hidden="1" customWidth="1"/>
    <col min="1039" max="1040" width="12.125" style="143" customWidth="1"/>
    <col min="1041" max="1041" width="7.25" style="143" customWidth="1"/>
    <col min="1042" max="1042" width="7.125" style="143" customWidth="1"/>
    <col min="1043" max="1043" width="10.25" style="143" customWidth="1"/>
    <col min="1044" max="1047" width="7.875" style="143" customWidth="1"/>
    <col min="1048" max="1279" width="7.875" style="143"/>
    <col min="1280" max="1280" width="25.25" style="143" customWidth="1"/>
    <col min="1281" max="1285" width="0" style="143" hidden="1" customWidth="1"/>
    <col min="1286" max="1286" width="8.375" style="143" customWidth="1"/>
    <col min="1287" max="1287" width="7.25" style="143" customWidth="1"/>
    <col min="1288" max="1288" width="12.125" style="143" customWidth="1"/>
    <col min="1289" max="1294" width="0" style="143" hidden="1" customWidth="1"/>
    <col min="1295" max="1296" width="12.125" style="143" customWidth="1"/>
    <col min="1297" max="1297" width="7.25" style="143" customWidth="1"/>
    <col min="1298" max="1298" width="7.125" style="143" customWidth="1"/>
    <col min="1299" max="1299" width="10.25" style="143" customWidth="1"/>
    <col min="1300" max="1303" width="7.875" style="143" customWidth="1"/>
    <col min="1304" max="1535" width="7.875" style="143"/>
    <col min="1536" max="1536" width="25.25" style="143" customWidth="1"/>
    <col min="1537" max="1541" width="0" style="143" hidden="1" customWidth="1"/>
    <col min="1542" max="1542" width="8.375" style="143" customWidth="1"/>
    <col min="1543" max="1543" width="7.25" style="143" customWidth="1"/>
    <col min="1544" max="1544" width="12.125" style="143" customWidth="1"/>
    <col min="1545" max="1550" width="0" style="143" hidden="1" customWidth="1"/>
    <col min="1551" max="1552" width="12.125" style="143" customWidth="1"/>
    <col min="1553" max="1553" width="7.25" style="143" customWidth="1"/>
    <col min="1554" max="1554" width="7.125" style="143" customWidth="1"/>
    <col min="1555" max="1555" width="10.25" style="143" customWidth="1"/>
    <col min="1556" max="1559" width="7.875" style="143" customWidth="1"/>
    <col min="1560" max="1791" width="7.875" style="143"/>
    <col min="1792" max="1792" width="25.25" style="143" customWidth="1"/>
    <col min="1793" max="1797" width="0" style="143" hidden="1" customWidth="1"/>
    <col min="1798" max="1798" width="8.375" style="143" customWidth="1"/>
    <col min="1799" max="1799" width="7.25" style="143" customWidth="1"/>
    <col min="1800" max="1800" width="12.125" style="143" customWidth="1"/>
    <col min="1801" max="1806" width="0" style="143" hidden="1" customWidth="1"/>
    <col min="1807" max="1808" width="12.125" style="143" customWidth="1"/>
    <col min="1809" max="1809" width="7.25" style="143" customWidth="1"/>
    <col min="1810" max="1810" width="7.125" style="143" customWidth="1"/>
    <col min="1811" max="1811" width="10.25" style="143" customWidth="1"/>
    <col min="1812" max="1815" width="7.875" style="143" customWidth="1"/>
    <col min="1816" max="2047" width="7.875" style="143"/>
    <col min="2048" max="2048" width="25.25" style="143" customWidth="1"/>
    <col min="2049" max="2053" width="0" style="143" hidden="1" customWidth="1"/>
    <col min="2054" max="2054" width="8.375" style="143" customWidth="1"/>
    <col min="2055" max="2055" width="7.25" style="143" customWidth="1"/>
    <col min="2056" max="2056" width="12.125" style="143" customWidth="1"/>
    <col min="2057" max="2062" width="0" style="143" hidden="1" customWidth="1"/>
    <col min="2063" max="2064" width="12.125" style="143" customWidth="1"/>
    <col min="2065" max="2065" width="7.25" style="143" customWidth="1"/>
    <col min="2066" max="2066" width="7.125" style="143" customWidth="1"/>
    <col min="2067" max="2067" width="10.25" style="143" customWidth="1"/>
    <col min="2068" max="2071" width="7.875" style="143" customWidth="1"/>
    <col min="2072" max="2303" width="7.875" style="143"/>
    <col min="2304" max="2304" width="25.25" style="143" customWidth="1"/>
    <col min="2305" max="2309" width="0" style="143" hidden="1" customWidth="1"/>
    <col min="2310" max="2310" width="8.375" style="143" customWidth="1"/>
    <col min="2311" max="2311" width="7.25" style="143" customWidth="1"/>
    <col min="2312" max="2312" width="12.125" style="143" customWidth="1"/>
    <col min="2313" max="2318" width="0" style="143" hidden="1" customWidth="1"/>
    <col min="2319" max="2320" width="12.125" style="143" customWidth="1"/>
    <col min="2321" max="2321" width="7.25" style="143" customWidth="1"/>
    <col min="2322" max="2322" width="7.125" style="143" customWidth="1"/>
    <col min="2323" max="2323" width="10.25" style="143" customWidth="1"/>
    <col min="2324" max="2327" width="7.875" style="143" customWidth="1"/>
    <col min="2328" max="2559" width="7.875" style="143"/>
    <col min="2560" max="2560" width="25.25" style="143" customWidth="1"/>
    <col min="2561" max="2565" width="0" style="143" hidden="1" customWidth="1"/>
    <col min="2566" max="2566" width="8.375" style="143" customWidth="1"/>
    <col min="2567" max="2567" width="7.25" style="143" customWidth="1"/>
    <col min="2568" max="2568" width="12.125" style="143" customWidth="1"/>
    <col min="2569" max="2574" width="0" style="143" hidden="1" customWidth="1"/>
    <col min="2575" max="2576" width="12.125" style="143" customWidth="1"/>
    <col min="2577" max="2577" width="7.25" style="143" customWidth="1"/>
    <col min="2578" max="2578" width="7.125" style="143" customWidth="1"/>
    <col min="2579" max="2579" width="10.25" style="143" customWidth="1"/>
    <col min="2580" max="2583" width="7.875" style="143" customWidth="1"/>
    <col min="2584" max="2815" width="7.875" style="143"/>
    <col min="2816" max="2816" width="25.25" style="143" customWidth="1"/>
    <col min="2817" max="2821" width="0" style="143" hidden="1" customWidth="1"/>
    <col min="2822" max="2822" width="8.375" style="143" customWidth="1"/>
    <col min="2823" max="2823" width="7.25" style="143" customWidth="1"/>
    <col min="2824" max="2824" width="12.125" style="143" customWidth="1"/>
    <col min="2825" max="2830" width="0" style="143" hidden="1" customWidth="1"/>
    <col min="2831" max="2832" width="12.125" style="143" customWidth="1"/>
    <col min="2833" max="2833" width="7.25" style="143" customWidth="1"/>
    <col min="2834" max="2834" width="7.125" style="143" customWidth="1"/>
    <col min="2835" max="2835" width="10.25" style="143" customWidth="1"/>
    <col min="2836" max="2839" width="7.875" style="143" customWidth="1"/>
    <col min="2840" max="3071" width="7.875" style="143"/>
    <col min="3072" max="3072" width="25.25" style="143" customWidth="1"/>
    <col min="3073" max="3077" width="0" style="143" hidden="1" customWidth="1"/>
    <col min="3078" max="3078" width="8.375" style="143" customWidth="1"/>
    <col min="3079" max="3079" width="7.25" style="143" customWidth="1"/>
    <col min="3080" max="3080" width="12.125" style="143" customWidth="1"/>
    <col min="3081" max="3086" width="0" style="143" hidden="1" customWidth="1"/>
    <col min="3087" max="3088" width="12.125" style="143" customWidth="1"/>
    <col min="3089" max="3089" width="7.25" style="143" customWidth="1"/>
    <col min="3090" max="3090" width="7.125" style="143" customWidth="1"/>
    <col min="3091" max="3091" width="10.25" style="143" customWidth="1"/>
    <col min="3092" max="3095" width="7.875" style="143" customWidth="1"/>
    <col min="3096" max="3327" width="7.875" style="143"/>
    <col min="3328" max="3328" width="25.25" style="143" customWidth="1"/>
    <col min="3329" max="3333" width="0" style="143" hidden="1" customWidth="1"/>
    <col min="3334" max="3334" width="8.375" style="143" customWidth="1"/>
    <col min="3335" max="3335" width="7.25" style="143" customWidth="1"/>
    <col min="3336" max="3336" width="12.125" style="143" customWidth="1"/>
    <col min="3337" max="3342" width="0" style="143" hidden="1" customWidth="1"/>
    <col min="3343" max="3344" width="12.125" style="143" customWidth="1"/>
    <col min="3345" max="3345" width="7.25" style="143" customWidth="1"/>
    <col min="3346" max="3346" width="7.125" style="143" customWidth="1"/>
    <col min="3347" max="3347" width="10.25" style="143" customWidth="1"/>
    <col min="3348" max="3351" width="7.875" style="143" customWidth="1"/>
    <col min="3352" max="3583" width="7.875" style="143"/>
    <col min="3584" max="3584" width="25.25" style="143" customWidth="1"/>
    <col min="3585" max="3589" width="0" style="143" hidden="1" customWidth="1"/>
    <col min="3590" max="3590" width="8.375" style="143" customWidth="1"/>
    <col min="3591" max="3591" width="7.25" style="143" customWidth="1"/>
    <col min="3592" max="3592" width="12.125" style="143" customWidth="1"/>
    <col min="3593" max="3598" width="0" style="143" hidden="1" customWidth="1"/>
    <col min="3599" max="3600" width="12.125" style="143" customWidth="1"/>
    <col min="3601" max="3601" width="7.25" style="143" customWidth="1"/>
    <col min="3602" max="3602" width="7.125" style="143" customWidth="1"/>
    <col min="3603" max="3603" width="10.25" style="143" customWidth="1"/>
    <col min="3604" max="3607" width="7.875" style="143" customWidth="1"/>
    <col min="3608" max="3839" width="7.875" style="143"/>
    <col min="3840" max="3840" width="25.25" style="143" customWidth="1"/>
    <col min="3841" max="3845" width="0" style="143" hidden="1" customWidth="1"/>
    <col min="3846" max="3846" width="8.375" style="143" customWidth="1"/>
    <col min="3847" max="3847" width="7.25" style="143" customWidth="1"/>
    <col min="3848" max="3848" width="12.125" style="143" customWidth="1"/>
    <col min="3849" max="3854" width="0" style="143" hidden="1" customWidth="1"/>
    <col min="3855" max="3856" width="12.125" style="143" customWidth="1"/>
    <col min="3857" max="3857" width="7.25" style="143" customWidth="1"/>
    <col min="3858" max="3858" width="7.125" style="143" customWidth="1"/>
    <col min="3859" max="3859" width="10.25" style="143" customWidth="1"/>
    <col min="3860" max="3863" width="7.875" style="143" customWidth="1"/>
    <col min="3864" max="4095" width="7.875" style="143"/>
    <col min="4096" max="4096" width="25.25" style="143" customWidth="1"/>
    <col min="4097" max="4101" width="0" style="143" hidden="1" customWidth="1"/>
    <col min="4102" max="4102" width="8.375" style="143" customWidth="1"/>
    <col min="4103" max="4103" width="7.25" style="143" customWidth="1"/>
    <col min="4104" max="4104" width="12.125" style="143" customWidth="1"/>
    <col min="4105" max="4110" width="0" style="143" hidden="1" customWidth="1"/>
    <col min="4111" max="4112" width="12.125" style="143" customWidth="1"/>
    <col min="4113" max="4113" width="7.25" style="143" customWidth="1"/>
    <col min="4114" max="4114" width="7.125" style="143" customWidth="1"/>
    <col min="4115" max="4115" width="10.25" style="143" customWidth="1"/>
    <col min="4116" max="4119" width="7.875" style="143" customWidth="1"/>
    <col min="4120" max="4351" width="7.875" style="143"/>
    <col min="4352" max="4352" width="25.25" style="143" customWidth="1"/>
    <col min="4353" max="4357" width="0" style="143" hidden="1" customWidth="1"/>
    <col min="4358" max="4358" width="8.375" style="143" customWidth="1"/>
    <col min="4359" max="4359" width="7.25" style="143" customWidth="1"/>
    <col min="4360" max="4360" width="12.125" style="143" customWidth="1"/>
    <col min="4361" max="4366" width="0" style="143" hidden="1" customWidth="1"/>
    <col min="4367" max="4368" width="12.125" style="143" customWidth="1"/>
    <col min="4369" max="4369" width="7.25" style="143" customWidth="1"/>
    <col min="4370" max="4370" width="7.125" style="143" customWidth="1"/>
    <col min="4371" max="4371" width="10.25" style="143" customWidth="1"/>
    <col min="4372" max="4375" width="7.875" style="143" customWidth="1"/>
    <col min="4376" max="4607" width="7.875" style="143"/>
    <col min="4608" max="4608" width="25.25" style="143" customWidth="1"/>
    <col min="4609" max="4613" width="0" style="143" hidden="1" customWidth="1"/>
    <col min="4614" max="4614" width="8.375" style="143" customWidth="1"/>
    <col min="4615" max="4615" width="7.25" style="143" customWidth="1"/>
    <col min="4616" max="4616" width="12.125" style="143" customWidth="1"/>
    <col min="4617" max="4622" width="0" style="143" hidden="1" customWidth="1"/>
    <col min="4623" max="4624" width="12.125" style="143" customWidth="1"/>
    <col min="4625" max="4625" width="7.25" style="143" customWidth="1"/>
    <col min="4626" max="4626" width="7.125" style="143" customWidth="1"/>
    <col min="4627" max="4627" width="10.25" style="143" customWidth="1"/>
    <col min="4628" max="4631" width="7.875" style="143" customWidth="1"/>
    <col min="4632" max="4863" width="7.875" style="143"/>
    <col min="4864" max="4864" width="25.25" style="143" customWidth="1"/>
    <col min="4865" max="4869" width="0" style="143" hidden="1" customWidth="1"/>
    <col min="4870" max="4870" width="8.375" style="143" customWidth="1"/>
    <col min="4871" max="4871" width="7.25" style="143" customWidth="1"/>
    <col min="4872" max="4872" width="12.125" style="143" customWidth="1"/>
    <col min="4873" max="4878" width="0" style="143" hidden="1" customWidth="1"/>
    <col min="4879" max="4880" width="12.125" style="143" customWidth="1"/>
    <col min="4881" max="4881" width="7.25" style="143" customWidth="1"/>
    <col min="4882" max="4882" width="7.125" style="143" customWidth="1"/>
    <col min="4883" max="4883" width="10.25" style="143" customWidth="1"/>
    <col min="4884" max="4887" width="7.875" style="143" customWidth="1"/>
    <col min="4888" max="5119" width="7.875" style="143"/>
    <col min="5120" max="5120" width="25.25" style="143" customWidth="1"/>
    <col min="5121" max="5125" width="0" style="143" hidden="1" customWidth="1"/>
    <col min="5126" max="5126" width="8.375" style="143" customWidth="1"/>
    <col min="5127" max="5127" width="7.25" style="143" customWidth="1"/>
    <col min="5128" max="5128" width="12.125" style="143" customWidth="1"/>
    <col min="5129" max="5134" width="0" style="143" hidden="1" customWidth="1"/>
    <col min="5135" max="5136" width="12.125" style="143" customWidth="1"/>
    <col min="5137" max="5137" width="7.25" style="143" customWidth="1"/>
    <col min="5138" max="5138" width="7.125" style="143" customWidth="1"/>
    <col min="5139" max="5139" width="10.25" style="143" customWidth="1"/>
    <col min="5140" max="5143" width="7.875" style="143" customWidth="1"/>
    <col min="5144" max="5375" width="7.875" style="143"/>
    <col min="5376" max="5376" width="25.25" style="143" customWidth="1"/>
    <col min="5377" max="5381" width="0" style="143" hidden="1" customWidth="1"/>
    <col min="5382" max="5382" width="8.375" style="143" customWidth="1"/>
    <col min="5383" max="5383" width="7.25" style="143" customWidth="1"/>
    <col min="5384" max="5384" width="12.125" style="143" customWidth="1"/>
    <col min="5385" max="5390" width="0" style="143" hidden="1" customWidth="1"/>
    <col min="5391" max="5392" width="12.125" style="143" customWidth="1"/>
    <col min="5393" max="5393" width="7.25" style="143" customWidth="1"/>
    <col min="5394" max="5394" width="7.125" style="143" customWidth="1"/>
    <col min="5395" max="5395" width="10.25" style="143" customWidth="1"/>
    <col min="5396" max="5399" width="7.875" style="143" customWidth="1"/>
    <col min="5400" max="5631" width="7.875" style="143"/>
    <col min="5632" max="5632" width="25.25" style="143" customWidth="1"/>
    <col min="5633" max="5637" width="0" style="143" hidden="1" customWidth="1"/>
    <col min="5638" max="5638" width="8.375" style="143" customWidth="1"/>
    <col min="5639" max="5639" width="7.25" style="143" customWidth="1"/>
    <col min="5640" max="5640" width="12.125" style="143" customWidth="1"/>
    <col min="5641" max="5646" width="0" style="143" hidden="1" customWidth="1"/>
    <col min="5647" max="5648" width="12.125" style="143" customWidth="1"/>
    <col min="5649" max="5649" width="7.25" style="143" customWidth="1"/>
    <col min="5650" max="5650" width="7.125" style="143" customWidth="1"/>
    <col min="5651" max="5651" width="10.25" style="143" customWidth="1"/>
    <col min="5652" max="5655" width="7.875" style="143" customWidth="1"/>
    <col min="5656" max="5887" width="7.875" style="143"/>
    <col min="5888" max="5888" width="25.25" style="143" customWidth="1"/>
    <col min="5889" max="5893" width="0" style="143" hidden="1" customWidth="1"/>
    <col min="5894" max="5894" width="8.375" style="143" customWidth="1"/>
    <col min="5895" max="5895" width="7.25" style="143" customWidth="1"/>
    <col min="5896" max="5896" width="12.125" style="143" customWidth="1"/>
    <col min="5897" max="5902" width="0" style="143" hidden="1" customWidth="1"/>
    <col min="5903" max="5904" width="12.125" style="143" customWidth="1"/>
    <col min="5905" max="5905" width="7.25" style="143" customWidth="1"/>
    <col min="5906" max="5906" width="7.125" style="143" customWidth="1"/>
    <col min="5907" max="5907" width="10.25" style="143" customWidth="1"/>
    <col min="5908" max="5911" width="7.875" style="143" customWidth="1"/>
    <col min="5912" max="6143" width="7.875" style="143"/>
    <col min="6144" max="6144" width="25.25" style="143" customWidth="1"/>
    <col min="6145" max="6149" width="0" style="143" hidden="1" customWidth="1"/>
    <col min="6150" max="6150" width="8.375" style="143" customWidth="1"/>
    <col min="6151" max="6151" width="7.25" style="143" customWidth="1"/>
    <col min="6152" max="6152" width="12.125" style="143" customWidth="1"/>
    <col min="6153" max="6158" width="0" style="143" hidden="1" customWidth="1"/>
    <col min="6159" max="6160" width="12.125" style="143" customWidth="1"/>
    <col min="6161" max="6161" width="7.25" style="143" customWidth="1"/>
    <col min="6162" max="6162" width="7.125" style="143" customWidth="1"/>
    <col min="6163" max="6163" width="10.25" style="143" customWidth="1"/>
    <col min="6164" max="6167" width="7.875" style="143" customWidth="1"/>
    <col min="6168" max="6399" width="7.875" style="143"/>
    <col min="6400" max="6400" width="25.25" style="143" customWidth="1"/>
    <col min="6401" max="6405" width="0" style="143" hidden="1" customWidth="1"/>
    <col min="6406" max="6406" width="8.375" style="143" customWidth="1"/>
    <col min="6407" max="6407" width="7.25" style="143" customWidth="1"/>
    <col min="6408" max="6408" width="12.125" style="143" customWidth="1"/>
    <col min="6409" max="6414" width="0" style="143" hidden="1" customWidth="1"/>
    <col min="6415" max="6416" width="12.125" style="143" customWidth="1"/>
    <col min="6417" max="6417" width="7.25" style="143" customWidth="1"/>
    <col min="6418" max="6418" width="7.125" style="143" customWidth="1"/>
    <col min="6419" max="6419" width="10.25" style="143" customWidth="1"/>
    <col min="6420" max="6423" width="7.875" style="143" customWidth="1"/>
    <col min="6424" max="6655" width="7.875" style="143"/>
    <col min="6656" max="6656" width="25.25" style="143" customWidth="1"/>
    <col min="6657" max="6661" width="0" style="143" hidden="1" customWidth="1"/>
    <col min="6662" max="6662" width="8.375" style="143" customWidth="1"/>
    <col min="6663" max="6663" width="7.25" style="143" customWidth="1"/>
    <col min="6664" max="6664" width="12.125" style="143" customWidth="1"/>
    <col min="6665" max="6670" width="0" style="143" hidden="1" customWidth="1"/>
    <col min="6671" max="6672" width="12.125" style="143" customWidth="1"/>
    <col min="6673" max="6673" width="7.25" style="143" customWidth="1"/>
    <col min="6674" max="6674" width="7.125" style="143" customWidth="1"/>
    <col min="6675" max="6675" width="10.25" style="143" customWidth="1"/>
    <col min="6676" max="6679" width="7.875" style="143" customWidth="1"/>
    <col min="6680" max="6911" width="7.875" style="143"/>
    <col min="6912" max="6912" width="25.25" style="143" customWidth="1"/>
    <col min="6913" max="6917" width="0" style="143" hidden="1" customWidth="1"/>
    <col min="6918" max="6918" width="8.375" style="143" customWidth="1"/>
    <col min="6919" max="6919" width="7.25" style="143" customWidth="1"/>
    <col min="6920" max="6920" width="12.125" style="143" customWidth="1"/>
    <col min="6921" max="6926" width="0" style="143" hidden="1" customWidth="1"/>
    <col min="6927" max="6928" width="12.125" style="143" customWidth="1"/>
    <col min="6929" max="6929" width="7.25" style="143" customWidth="1"/>
    <col min="6930" max="6930" width="7.125" style="143" customWidth="1"/>
    <col min="6931" max="6931" width="10.25" style="143" customWidth="1"/>
    <col min="6932" max="6935" width="7.875" style="143" customWidth="1"/>
    <col min="6936" max="7167" width="7.875" style="143"/>
    <col min="7168" max="7168" width="25.25" style="143" customWidth="1"/>
    <col min="7169" max="7173" width="0" style="143" hidden="1" customWidth="1"/>
    <col min="7174" max="7174" width="8.375" style="143" customWidth="1"/>
    <col min="7175" max="7175" width="7.25" style="143" customWidth="1"/>
    <col min="7176" max="7176" width="12.125" style="143" customWidth="1"/>
    <col min="7177" max="7182" width="0" style="143" hidden="1" customWidth="1"/>
    <col min="7183" max="7184" width="12.125" style="143" customWidth="1"/>
    <col min="7185" max="7185" width="7.25" style="143" customWidth="1"/>
    <col min="7186" max="7186" width="7.125" style="143" customWidth="1"/>
    <col min="7187" max="7187" width="10.25" style="143" customWidth="1"/>
    <col min="7188" max="7191" width="7.875" style="143" customWidth="1"/>
    <col min="7192" max="7423" width="7.875" style="143"/>
    <col min="7424" max="7424" width="25.25" style="143" customWidth="1"/>
    <col min="7425" max="7429" width="0" style="143" hidden="1" customWidth="1"/>
    <col min="7430" max="7430" width="8.375" style="143" customWidth="1"/>
    <col min="7431" max="7431" width="7.25" style="143" customWidth="1"/>
    <col min="7432" max="7432" width="12.125" style="143" customWidth="1"/>
    <col min="7433" max="7438" width="0" style="143" hidden="1" customWidth="1"/>
    <col min="7439" max="7440" width="12.125" style="143" customWidth="1"/>
    <col min="7441" max="7441" width="7.25" style="143" customWidth="1"/>
    <col min="7442" max="7442" width="7.125" style="143" customWidth="1"/>
    <col min="7443" max="7443" width="10.25" style="143" customWidth="1"/>
    <col min="7444" max="7447" width="7.875" style="143" customWidth="1"/>
    <col min="7448" max="7679" width="7.875" style="143"/>
    <col min="7680" max="7680" width="25.25" style="143" customWidth="1"/>
    <col min="7681" max="7685" width="0" style="143" hidden="1" customWidth="1"/>
    <col min="7686" max="7686" width="8.375" style="143" customWidth="1"/>
    <col min="7687" max="7687" width="7.25" style="143" customWidth="1"/>
    <col min="7688" max="7688" width="12.125" style="143" customWidth="1"/>
    <col min="7689" max="7694" width="0" style="143" hidden="1" customWidth="1"/>
    <col min="7695" max="7696" width="12.125" style="143" customWidth="1"/>
    <col min="7697" max="7697" width="7.25" style="143" customWidth="1"/>
    <col min="7698" max="7698" width="7.125" style="143" customWidth="1"/>
    <col min="7699" max="7699" width="10.25" style="143" customWidth="1"/>
    <col min="7700" max="7703" width="7.875" style="143" customWidth="1"/>
    <col min="7704" max="7935" width="7.875" style="143"/>
    <col min="7936" max="7936" width="25.25" style="143" customWidth="1"/>
    <col min="7937" max="7941" width="0" style="143" hidden="1" customWidth="1"/>
    <col min="7942" max="7942" width="8.375" style="143" customWidth="1"/>
    <col min="7943" max="7943" width="7.25" style="143" customWidth="1"/>
    <col min="7944" max="7944" width="12.125" style="143" customWidth="1"/>
    <col min="7945" max="7950" width="0" style="143" hidden="1" customWidth="1"/>
    <col min="7951" max="7952" width="12.125" style="143" customWidth="1"/>
    <col min="7953" max="7953" width="7.25" style="143" customWidth="1"/>
    <col min="7954" max="7954" width="7.125" style="143" customWidth="1"/>
    <col min="7955" max="7955" width="10.25" style="143" customWidth="1"/>
    <col min="7956" max="7959" width="7.875" style="143" customWidth="1"/>
    <col min="7960" max="8191" width="7.875" style="143"/>
    <col min="8192" max="8192" width="25.25" style="143" customWidth="1"/>
    <col min="8193" max="8197" width="0" style="143" hidden="1" customWidth="1"/>
    <col min="8198" max="8198" width="8.375" style="143" customWidth="1"/>
    <col min="8199" max="8199" width="7.25" style="143" customWidth="1"/>
    <col min="8200" max="8200" width="12.125" style="143" customWidth="1"/>
    <col min="8201" max="8206" width="0" style="143" hidden="1" customWidth="1"/>
    <col min="8207" max="8208" width="12.125" style="143" customWidth="1"/>
    <col min="8209" max="8209" width="7.25" style="143" customWidth="1"/>
    <col min="8210" max="8210" width="7.125" style="143" customWidth="1"/>
    <col min="8211" max="8211" width="10.25" style="143" customWidth="1"/>
    <col min="8212" max="8215" width="7.875" style="143" customWidth="1"/>
    <col min="8216" max="8447" width="7.875" style="143"/>
    <col min="8448" max="8448" width="25.25" style="143" customWidth="1"/>
    <col min="8449" max="8453" width="0" style="143" hidden="1" customWidth="1"/>
    <col min="8454" max="8454" width="8.375" style="143" customWidth="1"/>
    <col min="8455" max="8455" width="7.25" style="143" customWidth="1"/>
    <col min="8456" max="8456" width="12.125" style="143" customWidth="1"/>
    <col min="8457" max="8462" width="0" style="143" hidden="1" customWidth="1"/>
    <col min="8463" max="8464" width="12.125" style="143" customWidth="1"/>
    <col min="8465" max="8465" width="7.25" style="143" customWidth="1"/>
    <col min="8466" max="8466" width="7.125" style="143" customWidth="1"/>
    <col min="8467" max="8467" width="10.25" style="143" customWidth="1"/>
    <col min="8468" max="8471" width="7.875" style="143" customWidth="1"/>
    <col min="8472" max="8703" width="7.875" style="143"/>
    <col min="8704" max="8704" width="25.25" style="143" customWidth="1"/>
    <col min="8705" max="8709" width="0" style="143" hidden="1" customWidth="1"/>
    <col min="8710" max="8710" width="8.375" style="143" customWidth="1"/>
    <col min="8711" max="8711" width="7.25" style="143" customWidth="1"/>
    <col min="8712" max="8712" width="12.125" style="143" customWidth="1"/>
    <col min="8713" max="8718" width="0" style="143" hidden="1" customWidth="1"/>
    <col min="8719" max="8720" width="12.125" style="143" customWidth="1"/>
    <col min="8721" max="8721" width="7.25" style="143" customWidth="1"/>
    <col min="8722" max="8722" width="7.125" style="143" customWidth="1"/>
    <col min="8723" max="8723" width="10.25" style="143" customWidth="1"/>
    <col min="8724" max="8727" width="7.875" style="143" customWidth="1"/>
    <col min="8728" max="8959" width="7.875" style="143"/>
    <col min="8960" max="8960" width="25.25" style="143" customWidth="1"/>
    <col min="8961" max="8965" width="0" style="143" hidden="1" customWidth="1"/>
    <col min="8966" max="8966" width="8.375" style="143" customWidth="1"/>
    <col min="8967" max="8967" width="7.25" style="143" customWidth="1"/>
    <col min="8968" max="8968" width="12.125" style="143" customWidth="1"/>
    <col min="8969" max="8974" width="0" style="143" hidden="1" customWidth="1"/>
    <col min="8975" max="8976" width="12.125" style="143" customWidth="1"/>
    <col min="8977" max="8977" width="7.25" style="143" customWidth="1"/>
    <col min="8978" max="8978" width="7.125" style="143" customWidth="1"/>
    <col min="8979" max="8979" width="10.25" style="143" customWidth="1"/>
    <col min="8980" max="8983" width="7.875" style="143" customWidth="1"/>
    <col min="8984" max="9215" width="7.875" style="143"/>
    <col min="9216" max="9216" width="25.25" style="143" customWidth="1"/>
    <col min="9217" max="9221" width="0" style="143" hidden="1" customWidth="1"/>
    <col min="9222" max="9222" width="8.375" style="143" customWidth="1"/>
    <col min="9223" max="9223" width="7.25" style="143" customWidth="1"/>
    <col min="9224" max="9224" width="12.125" style="143" customWidth="1"/>
    <col min="9225" max="9230" width="0" style="143" hidden="1" customWidth="1"/>
    <col min="9231" max="9232" width="12.125" style="143" customWidth="1"/>
    <col min="9233" max="9233" width="7.25" style="143" customWidth="1"/>
    <col min="9234" max="9234" width="7.125" style="143" customWidth="1"/>
    <col min="9235" max="9235" width="10.25" style="143" customWidth="1"/>
    <col min="9236" max="9239" width="7.875" style="143" customWidth="1"/>
    <col min="9240" max="9471" width="7.875" style="143"/>
    <col min="9472" max="9472" width="25.25" style="143" customWidth="1"/>
    <col min="9473" max="9477" width="0" style="143" hidden="1" customWidth="1"/>
    <col min="9478" max="9478" width="8.375" style="143" customWidth="1"/>
    <col min="9479" max="9479" width="7.25" style="143" customWidth="1"/>
    <col min="9480" max="9480" width="12.125" style="143" customWidth="1"/>
    <col min="9481" max="9486" width="0" style="143" hidden="1" customWidth="1"/>
    <col min="9487" max="9488" width="12.125" style="143" customWidth="1"/>
    <col min="9489" max="9489" width="7.25" style="143" customWidth="1"/>
    <col min="9490" max="9490" width="7.125" style="143" customWidth="1"/>
    <col min="9491" max="9491" width="10.25" style="143" customWidth="1"/>
    <col min="9492" max="9495" width="7.875" style="143" customWidth="1"/>
    <col min="9496" max="9727" width="7.875" style="143"/>
    <col min="9728" max="9728" width="25.25" style="143" customWidth="1"/>
    <col min="9729" max="9733" width="0" style="143" hidden="1" customWidth="1"/>
    <col min="9734" max="9734" width="8.375" style="143" customWidth="1"/>
    <col min="9735" max="9735" width="7.25" style="143" customWidth="1"/>
    <col min="9736" max="9736" width="12.125" style="143" customWidth="1"/>
    <col min="9737" max="9742" width="0" style="143" hidden="1" customWidth="1"/>
    <col min="9743" max="9744" width="12.125" style="143" customWidth="1"/>
    <col min="9745" max="9745" width="7.25" style="143" customWidth="1"/>
    <col min="9746" max="9746" width="7.125" style="143" customWidth="1"/>
    <col min="9747" max="9747" width="10.25" style="143" customWidth="1"/>
    <col min="9748" max="9751" width="7.875" style="143" customWidth="1"/>
    <col min="9752" max="9983" width="7.875" style="143"/>
    <col min="9984" max="9984" width="25.25" style="143" customWidth="1"/>
    <col min="9985" max="9989" width="0" style="143" hidden="1" customWidth="1"/>
    <col min="9990" max="9990" width="8.375" style="143" customWidth="1"/>
    <col min="9991" max="9991" width="7.25" style="143" customWidth="1"/>
    <col min="9992" max="9992" width="12.125" style="143" customWidth="1"/>
    <col min="9993" max="9998" width="0" style="143" hidden="1" customWidth="1"/>
    <col min="9999" max="10000" width="12.125" style="143" customWidth="1"/>
    <col min="10001" max="10001" width="7.25" style="143" customWidth="1"/>
    <col min="10002" max="10002" width="7.125" style="143" customWidth="1"/>
    <col min="10003" max="10003" width="10.25" style="143" customWidth="1"/>
    <col min="10004" max="10007" width="7.875" style="143" customWidth="1"/>
    <col min="10008" max="10239" width="7.875" style="143"/>
    <col min="10240" max="10240" width="25.25" style="143" customWidth="1"/>
    <col min="10241" max="10245" width="0" style="143" hidden="1" customWidth="1"/>
    <col min="10246" max="10246" width="8.375" style="143" customWidth="1"/>
    <col min="10247" max="10247" width="7.25" style="143" customWidth="1"/>
    <col min="10248" max="10248" width="12.125" style="143" customWidth="1"/>
    <col min="10249" max="10254" width="0" style="143" hidden="1" customWidth="1"/>
    <col min="10255" max="10256" width="12.125" style="143" customWidth="1"/>
    <col min="10257" max="10257" width="7.25" style="143" customWidth="1"/>
    <col min="10258" max="10258" width="7.125" style="143" customWidth="1"/>
    <col min="10259" max="10259" width="10.25" style="143" customWidth="1"/>
    <col min="10260" max="10263" width="7.875" style="143" customWidth="1"/>
    <col min="10264" max="10495" width="7.875" style="143"/>
    <col min="10496" max="10496" width="25.25" style="143" customWidth="1"/>
    <col min="10497" max="10501" width="0" style="143" hidden="1" customWidth="1"/>
    <col min="10502" max="10502" width="8.375" style="143" customWidth="1"/>
    <col min="10503" max="10503" width="7.25" style="143" customWidth="1"/>
    <col min="10504" max="10504" width="12.125" style="143" customWidth="1"/>
    <col min="10505" max="10510" width="0" style="143" hidden="1" customWidth="1"/>
    <col min="10511" max="10512" width="12.125" style="143" customWidth="1"/>
    <col min="10513" max="10513" width="7.25" style="143" customWidth="1"/>
    <col min="10514" max="10514" width="7.125" style="143" customWidth="1"/>
    <col min="10515" max="10515" width="10.25" style="143" customWidth="1"/>
    <col min="10516" max="10519" width="7.875" style="143" customWidth="1"/>
    <col min="10520" max="10751" width="7.875" style="143"/>
    <col min="10752" max="10752" width="25.25" style="143" customWidth="1"/>
    <col min="10753" max="10757" width="0" style="143" hidden="1" customWidth="1"/>
    <col min="10758" max="10758" width="8.375" style="143" customWidth="1"/>
    <col min="10759" max="10759" width="7.25" style="143" customWidth="1"/>
    <col min="10760" max="10760" width="12.125" style="143" customWidth="1"/>
    <col min="10761" max="10766" width="0" style="143" hidden="1" customWidth="1"/>
    <col min="10767" max="10768" width="12.125" style="143" customWidth="1"/>
    <col min="10769" max="10769" width="7.25" style="143" customWidth="1"/>
    <col min="10770" max="10770" width="7.125" style="143" customWidth="1"/>
    <col min="10771" max="10771" width="10.25" style="143" customWidth="1"/>
    <col min="10772" max="10775" width="7.875" style="143" customWidth="1"/>
    <col min="10776" max="11007" width="7.875" style="143"/>
    <col min="11008" max="11008" width="25.25" style="143" customWidth="1"/>
    <col min="11009" max="11013" width="0" style="143" hidden="1" customWidth="1"/>
    <col min="11014" max="11014" width="8.375" style="143" customWidth="1"/>
    <col min="11015" max="11015" width="7.25" style="143" customWidth="1"/>
    <col min="11016" max="11016" width="12.125" style="143" customWidth="1"/>
    <col min="11017" max="11022" width="0" style="143" hidden="1" customWidth="1"/>
    <col min="11023" max="11024" width="12.125" style="143" customWidth="1"/>
    <col min="11025" max="11025" width="7.25" style="143" customWidth="1"/>
    <col min="11026" max="11026" width="7.125" style="143" customWidth="1"/>
    <col min="11027" max="11027" width="10.25" style="143" customWidth="1"/>
    <col min="11028" max="11031" width="7.875" style="143" customWidth="1"/>
    <col min="11032" max="11263" width="7.875" style="143"/>
    <col min="11264" max="11264" width="25.25" style="143" customWidth="1"/>
    <col min="11265" max="11269" width="0" style="143" hidden="1" customWidth="1"/>
    <col min="11270" max="11270" width="8.375" style="143" customWidth="1"/>
    <col min="11271" max="11271" width="7.25" style="143" customWidth="1"/>
    <col min="11272" max="11272" width="12.125" style="143" customWidth="1"/>
    <col min="11273" max="11278" width="0" style="143" hidden="1" customWidth="1"/>
    <col min="11279" max="11280" width="12.125" style="143" customWidth="1"/>
    <col min="11281" max="11281" width="7.25" style="143" customWidth="1"/>
    <col min="11282" max="11282" width="7.125" style="143" customWidth="1"/>
    <col min="11283" max="11283" width="10.25" style="143" customWidth="1"/>
    <col min="11284" max="11287" width="7.875" style="143" customWidth="1"/>
    <col min="11288" max="11519" width="7.875" style="143"/>
    <col min="11520" max="11520" width="25.25" style="143" customWidth="1"/>
    <col min="11521" max="11525" width="0" style="143" hidden="1" customWidth="1"/>
    <col min="11526" max="11526" width="8.375" style="143" customWidth="1"/>
    <col min="11527" max="11527" width="7.25" style="143" customWidth="1"/>
    <col min="11528" max="11528" width="12.125" style="143" customWidth="1"/>
    <col min="11529" max="11534" width="0" style="143" hidden="1" customWidth="1"/>
    <col min="11535" max="11536" width="12.125" style="143" customWidth="1"/>
    <col min="11537" max="11537" width="7.25" style="143" customWidth="1"/>
    <col min="11538" max="11538" width="7.125" style="143" customWidth="1"/>
    <col min="11539" max="11539" width="10.25" style="143" customWidth="1"/>
    <col min="11540" max="11543" width="7.875" style="143" customWidth="1"/>
    <col min="11544" max="11775" width="7.875" style="143"/>
    <col min="11776" max="11776" width="25.25" style="143" customWidth="1"/>
    <col min="11777" max="11781" width="0" style="143" hidden="1" customWidth="1"/>
    <col min="11782" max="11782" width="8.375" style="143" customWidth="1"/>
    <col min="11783" max="11783" width="7.25" style="143" customWidth="1"/>
    <col min="11784" max="11784" width="12.125" style="143" customWidth="1"/>
    <col min="11785" max="11790" width="0" style="143" hidden="1" customWidth="1"/>
    <col min="11791" max="11792" width="12.125" style="143" customWidth="1"/>
    <col min="11793" max="11793" width="7.25" style="143" customWidth="1"/>
    <col min="11794" max="11794" width="7.125" style="143" customWidth="1"/>
    <col min="11795" max="11795" width="10.25" style="143" customWidth="1"/>
    <col min="11796" max="11799" width="7.875" style="143" customWidth="1"/>
    <col min="11800" max="12031" width="7.875" style="143"/>
    <col min="12032" max="12032" width="25.25" style="143" customWidth="1"/>
    <col min="12033" max="12037" width="0" style="143" hidden="1" customWidth="1"/>
    <col min="12038" max="12038" width="8.375" style="143" customWidth="1"/>
    <col min="12039" max="12039" width="7.25" style="143" customWidth="1"/>
    <col min="12040" max="12040" width="12.125" style="143" customWidth="1"/>
    <col min="12041" max="12046" width="0" style="143" hidden="1" customWidth="1"/>
    <col min="12047" max="12048" width="12.125" style="143" customWidth="1"/>
    <col min="12049" max="12049" width="7.25" style="143" customWidth="1"/>
    <col min="12050" max="12050" width="7.125" style="143" customWidth="1"/>
    <col min="12051" max="12051" width="10.25" style="143" customWidth="1"/>
    <col min="12052" max="12055" width="7.875" style="143" customWidth="1"/>
    <col min="12056" max="12287" width="7.875" style="143"/>
    <col min="12288" max="12288" width="25.25" style="143" customWidth="1"/>
    <col min="12289" max="12293" width="0" style="143" hidden="1" customWidth="1"/>
    <col min="12294" max="12294" width="8.375" style="143" customWidth="1"/>
    <col min="12295" max="12295" width="7.25" style="143" customWidth="1"/>
    <col min="12296" max="12296" width="12.125" style="143" customWidth="1"/>
    <col min="12297" max="12302" width="0" style="143" hidden="1" customWidth="1"/>
    <col min="12303" max="12304" width="12.125" style="143" customWidth="1"/>
    <col min="12305" max="12305" width="7.25" style="143" customWidth="1"/>
    <col min="12306" max="12306" width="7.125" style="143" customWidth="1"/>
    <col min="12307" max="12307" width="10.25" style="143" customWidth="1"/>
    <col min="12308" max="12311" width="7.875" style="143" customWidth="1"/>
    <col min="12312" max="12543" width="7.875" style="143"/>
    <col min="12544" max="12544" width="25.25" style="143" customWidth="1"/>
    <col min="12545" max="12549" width="0" style="143" hidden="1" customWidth="1"/>
    <col min="12550" max="12550" width="8.375" style="143" customWidth="1"/>
    <col min="12551" max="12551" width="7.25" style="143" customWidth="1"/>
    <col min="12552" max="12552" width="12.125" style="143" customWidth="1"/>
    <col min="12553" max="12558" width="0" style="143" hidden="1" customWidth="1"/>
    <col min="12559" max="12560" width="12.125" style="143" customWidth="1"/>
    <col min="12561" max="12561" width="7.25" style="143" customWidth="1"/>
    <col min="12562" max="12562" width="7.125" style="143" customWidth="1"/>
    <col min="12563" max="12563" width="10.25" style="143" customWidth="1"/>
    <col min="12564" max="12567" width="7.875" style="143" customWidth="1"/>
    <col min="12568" max="12799" width="7.875" style="143"/>
    <col min="12800" max="12800" width="25.25" style="143" customWidth="1"/>
    <col min="12801" max="12805" width="0" style="143" hidden="1" customWidth="1"/>
    <col min="12806" max="12806" width="8.375" style="143" customWidth="1"/>
    <col min="12807" max="12807" width="7.25" style="143" customWidth="1"/>
    <col min="12808" max="12808" width="12.125" style="143" customWidth="1"/>
    <col min="12809" max="12814" width="0" style="143" hidden="1" customWidth="1"/>
    <col min="12815" max="12816" width="12.125" style="143" customWidth="1"/>
    <col min="12817" max="12817" width="7.25" style="143" customWidth="1"/>
    <col min="12818" max="12818" width="7.125" style="143" customWidth="1"/>
    <col min="12819" max="12819" width="10.25" style="143" customWidth="1"/>
    <col min="12820" max="12823" width="7.875" style="143" customWidth="1"/>
    <col min="12824" max="13055" width="7.875" style="143"/>
    <col min="13056" max="13056" width="25.25" style="143" customWidth="1"/>
    <col min="13057" max="13061" width="0" style="143" hidden="1" customWidth="1"/>
    <col min="13062" max="13062" width="8.375" style="143" customWidth="1"/>
    <col min="13063" max="13063" width="7.25" style="143" customWidth="1"/>
    <col min="13064" max="13064" width="12.125" style="143" customWidth="1"/>
    <col min="13065" max="13070" width="0" style="143" hidden="1" customWidth="1"/>
    <col min="13071" max="13072" width="12.125" style="143" customWidth="1"/>
    <col min="13073" max="13073" width="7.25" style="143" customWidth="1"/>
    <col min="13074" max="13074" width="7.125" style="143" customWidth="1"/>
    <col min="13075" max="13075" width="10.25" style="143" customWidth="1"/>
    <col min="13076" max="13079" width="7.875" style="143" customWidth="1"/>
    <col min="13080" max="13311" width="7.875" style="143"/>
    <col min="13312" max="13312" width="25.25" style="143" customWidth="1"/>
    <col min="13313" max="13317" width="0" style="143" hidden="1" customWidth="1"/>
    <col min="13318" max="13318" width="8.375" style="143" customWidth="1"/>
    <col min="13319" max="13319" width="7.25" style="143" customWidth="1"/>
    <col min="13320" max="13320" width="12.125" style="143" customWidth="1"/>
    <col min="13321" max="13326" width="0" style="143" hidden="1" customWidth="1"/>
    <col min="13327" max="13328" width="12.125" style="143" customWidth="1"/>
    <col min="13329" max="13329" width="7.25" style="143" customWidth="1"/>
    <col min="13330" max="13330" width="7.125" style="143" customWidth="1"/>
    <col min="13331" max="13331" width="10.25" style="143" customWidth="1"/>
    <col min="13332" max="13335" width="7.875" style="143" customWidth="1"/>
    <col min="13336" max="13567" width="7.875" style="143"/>
    <col min="13568" max="13568" width="25.25" style="143" customWidth="1"/>
    <col min="13569" max="13573" width="0" style="143" hidden="1" customWidth="1"/>
    <col min="13574" max="13574" width="8.375" style="143" customWidth="1"/>
    <col min="13575" max="13575" width="7.25" style="143" customWidth="1"/>
    <col min="13576" max="13576" width="12.125" style="143" customWidth="1"/>
    <col min="13577" max="13582" width="0" style="143" hidden="1" customWidth="1"/>
    <col min="13583" max="13584" width="12.125" style="143" customWidth="1"/>
    <col min="13585" max="13585" width="7.25" style="143" customWidth="1"/>
    <col min="13586" max="13586" width="7.125" style="143" customWidth="1"/>
    <col min="13587" max="13587" width="10.25" style="143" customWidth="1"/>
    <col min="13588" max="13591" width="7.875" style="143" customWidth="1"/>
    <col min="13592" max="13823" width="7.875" style="143"/>
    <col min="13824" max="13824" width="25.25" style="143" customWidth="1"/>
    <col min="13825" max="13829" width="0" style="143" hidden="1" customWidth="1"/>
    <col min="13830" max="13830" width="8.375" style="143" customWidth="1"/>
    <col min="13831" max="13831" width="7.25" style="143" customWidth="1"/>
    <col min="13832" max="13832" width="12.125" style="143" customWidth="1"/>
    <col min="13833" max="13838" width="0" style="143" hidden="1" customWidth="1"/>
    <col min="13839" max="13840" width="12.125" style="143" customWidth="1"/>
    <col min="13841" max="13841" width="7.25" style="143" customWidth="1"/>
    <col min="13842" max="13842" width="7.125" style="143" customWidth="1"/>
    <col min="13843" max="13843" width="10.25" style="143" customWidth="1"/>
    <col min="13844" max="13847" width="7.875" style="143" customWidth="1"/>
    <col min="13848" max="14079" width="7.875" style="143"/>
    <col min="14080" max="14080" width="25.25" style="143" customWidth="1"/>
    <col min="14081" max="14085" width="0" style="143" hidden="1" customWidth="1"/>
    <col min="14086" max="14086" width="8.375" style="143" customWidth="1"/>
    <col min="14087" max="14087" width="7.25" style="143" customWidth="1"/>
    <col min="14088" max="14088" width="12.125" style="143" customWidth="1"/>
    <col min="14089" max="14094" width="0" style="143" hidden="1" customWidth="1"/>
    <col min="14095" max="14096" width="12.125" style="143" customWidth="1"/>
    <col min="14097" max="14097" width="7.25" style="143" customWidth="1"/>
    <col min="14098" max="14098" width="7.125" style="143" customWidth="1"/>
    <col min="14099" max="14099" width="10.25" style="143" customWidth="1"/>
    <col min="14100" max="14103" width="7.875" style="143" customWidth="1"/>
    <col min="14104" max="14335" width="7.875" style="143"/>
    <col min="14336" max="14336" width="25.25" style="143" customWidth="1"/>
    <col min="14337" max="14341" width="0" style="143" hidden="1" customWidth="1"/>
    <col min="14342" max="14342" width="8.375" style="143" customWidth="1"/>
    <col min="14343" max="14343" width="7.25" style="143" customWidth="1"/>
    <col min="14344" max="14344" width="12.125" style="143" customWidth="1"/>
    <col min="14345" max="14350" width="0" style="143" hidden="1" customWidth="1"/>
    <col min="14351" max="14352" width="12.125" style="143" customWidth="1"/>
    <col min="14353" max="14353" width="7.25" style="143" customWidth="1"/>
    <col min="14354" max="14354" width="7.125" style="143" customWidth="1"/>
    <col min="14355" max="14355" width="10.25" style="143" customWidth="1"/>
    <col min="14356" max="14359" width="7.875" style="143" customWidth="1"/>
    <col min="14360" max="14591" width="7.875" style="143"/>
    <col min="14592" max="14592" width="25.25" style="143" customWidth="1"/>
    <col min="14593" max="14597" width="0" style="143" hidden="1" customWidth="1"/>
    <col min="14598" max="14598" width="8.375" style="143" customWidth="1"/>
    <col min="14599" max="14599" width="7.25" style="143" customWidth="1"/>
    <col min="14600" max="14600" width="12.125" style="143" customWidth="1"/>
    <col min="14601" max="14606" width="0" style="143" hidden="1" customWidth="1"/>
    <col min="14607" max="14608" width="12.125" style="143" customWidth="1"/>
    <col min="14609" max="14609" width="7.25" style="143" customWidth="1"/>
    <col min="14610" max="14610" width="7.125" style="143" customWidth="1"/>
    <col min="14611" max="14611" width="10.25" style="143" customWidth="1"/>
    <col min="14612" max="14615" width="7.875" style="143" customWidth="1"/>
    <col min="14616" max="14847" width="7.875" style="143"/>
    <col min="14848" max="14848" width="25.25" style="143" customWidth="1"/>
    <col min="14849" max="14853" width="0" style="143" hidden="1" customWidth="1"/>
    <col min="14854" max="14854" width="8.375" style="143" customWidth="1"/>
    <col min="14855" max="14855" width="7.25" style="143" customWidth="1"/>
    <col min="14856" max="14856" width="12.125" style="143" customWidth="1"/>
    <col min="14857" max="14862" width="0" style="143" hidden="1" customWidth="1"/>
    <col min="14863" max="14864" width="12.125" style="143" customWidth="1"/>
    <col min="14865" max="14865" width="7.25" style="143" customWidth="1"/>
    <col min="14866" max="14866" width="7.125" style="143" customWidth="1"/>
    <col min="14867" max="14867" width="10.25" style="143" customWidth="1"/>
    <col min="14868" max="14871" width="7.875" style="143" customWidth="1"/>
    <col min="14872" max="15103" width="7.875" style="143"/>
    <col min="15104" max="15104" width="25.25" style="143" customWidth="1"/>
    <col min="15105" max="15109" width="0" style="143" hidden="1" customWidth="1"/>
    <col min="15110" max="15110" width="8.375" style="143" customWidth="1"/>
    <col min="15111" max="15111" width="7.25" style="143" customWidth="1"/>
    <col min="15112" max="15112" width="12.125" style="143" customWidth="1"/>
    <col min="15113" max="15118" width="0" style="143" hidden="1" customWidth="1"/>
    <col min="15119" max="15120" width="12.125" style="143" customWidth="1"/>
    <col min="15121" max="15121" width="7.25" style="143" customWidth="1"/>
    <col min="15122" max="15122" width="7.125" style="143" customWidth="1"/>
    <col min="15123" max="15123" width="10.25" style="143" customWidth="1"/>
    <col min="15124" max="15127" width="7.875" style="143" customWidth="1"/>
    <col min="15128" max="15359" width="7.875" style="143"/>
    <col min="15360" max="15360" width="25.25" style="143" customWidth="1"/>
    <col min="15361" max="15365" width="0" style="143" hidden="1" customWidth="1"/>
    <col min="15366" max="15366" width="8.375" style="143" customWidth="1"/>
    <col min="15367" max="15367" width="7.25" style="143" customWidth="1"/>
    <col min="15368" max="15368" width="12.125" style="143" customWidth="1"/>
    <col min="15369" max="15374" width="0" style="143" hidden="1" customWidth="1"/>
    <col min="15375" max="15376" width="12.125" style="143" customWidth="1"/>
    <col min="15377" max="15377" width="7.25" style="143" customWidth="1"/>
    <col min="15378" max="15378" width="7.125" style="143" customWidth="1"/>
    <col min="15379" max="15379" width="10.25" style="143" customWidth="1"/>
    <col min="15380" max="15383" width="7.875" style="143" customWidth="1"/>
    <col min="15384" max="15615" width="7.875" style="143"/>
    <col min="15616" max="15616" width="25.25" style="143" customWidth="1"/>
    <col min="15617" max="15621" width="0" style="143" hidden="1" customWidth="1"/>
    <col min="15622" max="15622" width="8.375" style="143" customWidth="1"/>
    <col min="15623" max="15623" width="7.25" style="143" customWidth="1"/>
    <col min="15624" max="15624" width="12.125" style="143" customWidth="1"/>
    <col min="15625" max="15630" width="0" style="143" hidden="1" customWidth="1"/>
    <col min="15631" max="15632" width="12.125" style="143" customWidth="1"/>
    <col min="15633" max="15633" width="7.25" style="143" customWidth="1"/>
    <col min="15634" max="15634" width="7.125" style="143" customWidth="1"/>
    <col min="15635" max="15635" width="10.25" style="143" customWidth="1"/>
    <col min="15636" max="15639" width="7.875" style="143" customWidth="1"/>
    <col min="15640" max="15871" width="7.875" style="143"/>
    <col min="15872" max="15872" width="25.25" style="143" customWidth="1"/>
    <col min="15873" max="15877" width="0" style="143" hidden="1" customWidth="1"/>
    <col min="15878" max="15878" width="8.375" style="143" customWidth="1"/>
    <col min="15879" max="15879" width="7.25" style="143" customWidth="1"/>
    <col min="15880" max="15880" width="12.125" style="143" customWidth="1"/>
    <col min="15881" max="15886" width="0" style="143" hidden="1" customWidth="1"/>
    <col min="15887" max="15888" width="12.125" style="143" customWidth="1"/>
    <col min="15889" max="15889" width="7.25" style="143" customWidth="1"/>
    <col min="15890" max="15890" width="7.125" style="143" customWidth="1"/>
    <col min="15891" max="15891" width="10.25" style="143" customWidth="1"/>
    <col min="15892" max="15895" width="7.875" style="143" customWidth="1"/>
    <col min="15896" max="16127" width="7.875" style="143"/>
    <col min="16128" max="16128" width="25.25" style="143" customWidth="1"/>
    <col min="16129" max="16133" width="0" style="143" hidden="1" customWidth="1"/>
    <col min="16134" max="16134" width="8.375" style="143" customWidth="1"/>
    <col min="16135" max="16135" width="7.25" style="143" customWidth="1"/>
    <col min="16136" max="16136" width="12.125" style="143" customWidth="1"/>
    <col min="16137" max="16142" width="0" style="143" hidden="1" customWidth="1"/>
    <col min="16143" max="16144" width="12.125" style="143" customWidth="1"/>
    <col min="16145" max="16145" width="7.25" style="143" customWidth="1"/>
    <col min="16146" max="16146" width="7.125" style="143" customWidth="1"/>
    <col min="16147" max="16147" width="10.25" style="143" customWidth="1"/>
    <col min="16148" max="16151" width="7.875" style="143" customWidth="1"/>
    <col min="16152" max="16384" width="7.875" style="143"/>
  </cols>
  <sheetData>
    <row r="1" spans="1:37" s="116" customFormat="1" ht="26.25" x14ac:dyDescent="0.4">
      <c r="A1" s="314" t="s">
        <v>315</v>
      </c>
      <c r="B1" s="314"/>
      <c r="C1" s="314"/>
      <c r="D1" s="314"/>
      <c r="E1" s="314"/>
      <c r="F1" s="314"/>
      <c r="G1" s="314"/>
      <c r="H1" s="314"/>
      <c r="I1" s="314"/>
      <c r="J1" s="314"/>
      <c r="K1" s="314"/>
      <c r="L1" s="314"/>
      <c r="M1" s="314"/>
      <c r="N1" s="314"/>
      <c r="O1" s="314"/>
      <c r="P1" s="314"/>
      <c r="Q1" s="314"/>
      <c r="R1" s="314"/>
      <c r="S1" s="314"/>
      <c r="T1" s="314"/>
    </row>
    <row r="2" spans="1:37" s="116" customFormat="1" ht="26.25" x14ac:dyDescent="0.4">
      <c r="A2" s="117" t="s">
        <v>316</v>
      </c>
      <c r="B2" s="118"/>
      <c r="C2" s="118"/>
      <c r="D2" s="118"/>
      <c r="E2" s="119"/>
      <c r="F2" s="118"/>
      <c r="G2" s="120"/>
      <c r="H2" s="121"/>
      <c r="I2" s="122"/>
      <c r="J2" s="123"/>
      <c r="K2" s="123"/>
      <c r="L2" s="123"/>
      <c r="M2" s="123"/>
      <c r="N2" s="122"/>
      <c r="O2" s="124"/>
      <c r="P2" s="122"/>
      <c r="Q2" s="122"/>
      <c r="R2" s="315" t="s">
        <v>1</v>
      </c>
      <c r="S2" s="315"/>
      <c r="T2" s="315"/>
    </row>
    <row r="3" spans="1:37" s="116" customFormat="1" ht="26.25" x14ac:dyDescent="0.4">
      <c r="A3" s="125"/>
      <c r="B3" s="118"/>
      <c r="C3" s="118"/>
      <c r="D3" s="118"/>
      <c r="E3" s="119"/>
      <c r="F3" s="118"/>
      <c r="G3" s="120"/>
      <c r="H3" s="121"/>
      <c r="I3" s="126"/>
      <c r="M3" s="127"/>
      <c r="O3" s="124"/>
      <c r="P3" s="126"/>
      <c r="Q3" s="126"/>
      <c r="R3" s="128"/>
      <c r="S3" s="128"/>
      <c r="T3" s="118"/>
    </row>
    <row r="4" spans="1:37" s="184" customFormat="1" ht="21" x14ac:dyDescent="0.2">
      <c r="A4" s="316" t="s">
        <v>317</v>
      </c>
      <c r="B4" s="318" t="s">
        <v>318</v>
      </c>
      <c r="C4" s="318"/>
      <c r="D4" s="318"/>
      <c r="E4" s="318"/>
      <c r="F4" s="318"/>
      <c r="G4" s="318"/>
      <c r="H4" s="318"/>
      <c r="I4" s="318"/>
      <c r="J4" s="318" t="s">
        <v>319</v>
      </c>
      <c r="K4" s="318"/>
      <c r="L4" s="318"/>
      <c r="M4" s="318"/>
      <c r="N4" s="318"/>
      <c r="O4" s="318"/>
      <c r="P4" s="318"/>
      <c r="Q4" s="318"/>
      <c r="R4" s="319" t="s">
        <v>4</v>
      </c>
      <c r="S4" s="319"/>
      <c r="T4" s="319"/>
      <c r="U4" s="129"/>
      <c r="V4" s="129"/>
      <c r="W4" s="129"/>
      <c r="X4" s="129"/>
      <c r="Y4" s="129"/>
      <c r="Z4" s="129"/>
      <c r="AA4" s="129"/>
      <c r="AB4" s="129"/>
      <c r="AC4" s="129"/>
      <c r="AD4" s="129"/>
      <c r="AE4" s="129"/>
      <c r="AF4" s="129"/>
      <c r="AG4" s="129"/>
      <c r="AH4" s="129"/>
      <c r="AI4" s="129"/>
      <c r="AJ4" s="129"/>
      <c r="AK4" s="129"/>
    </row>
    <row r="5" spans="1:37" s="166" customFormat="1" ht="47.25" x14ac:dyDescent="0.2">
      <c r="A5" s="317"/>
      <c r="B5" s="130" t="s">
        <v>6</v>
      </c>
      <c r="C5" s="137" t="s">
        <v>320</v>
      </c>
      <c r="D5" s="13" t="s">
        <v>8</v>
      </c>
      <c r="E5" s="13" t="s">
        <v>9</v>
      </c>
      <c r="F5" s="13" t="s">
        <v>10</v>
      </c>
      <c r="G5" s="130" t="s">
        <v>321</v>
      </c>
      <c r="H5" s="130" t="s">
        <v>12</v>
      </c>
      <c r="I5" s="137" t="s">
        <v>13</v>
      </c>
      <c r="J5" s="130" t="s">
        <v>6</v>
      </c>
      <c r="K5" s="137" t="s">
        <v>320</v>
      </c>
      <c r="L5" s="13" t="s">
        <v>8</v>
      </c>
      <c r="M5" s="13" t="s">
        <v>9</v>
      </c>
      <c r="N5" s="13" t="s">
        <v>10</v>
      </c>
      <c r="O5" s="13" t="s">
        <v>321</v>
      </c>
      <c r="P5" s="130" t="s">
        <v>12</v>
      </c>
      <c r="Q5" s="137" t="s">
        <v>13</v>
      </c>
      <c r="R5" s="177" t="s">
        <v>14</v>
      </c>
      <c r="S5" s="177" t="s">
        <v>15</v>
      </c>
      <c r="T5" s="137" t="s">
        <v>16</v>
      </c>
    </row>
    <row r="6" spans="1:37" s="121" customFormat="1" ht="63" x14ac:dyDescent="0.25">
      <c r="A6" s="131" t="s">
        <v>322</v>
      </c>
      <c r="B6" s="132">
        <v>160641622.41999999</v>
      </c>
      <c r="C6" s="132">
        <v>68784555.890000001</v>
      </c>
      <c r="D6" s="132">
        <v>8332848.5</v>
      </c>
      <c r="E6" s="133">
        <v>7671603.8200000003</v>
      </c>
      <c r="F6" s="132">
        <f>SUM(B6:E6)</f>
        <v>245430630.63</v>
      </c>
      <c r="G6" s="134">
        <v>58</v>
      </c>
      <c r="H6" s="135" t="s">
        <v>19</v>
      </c>
      <c r="I6" s="136">
        <f t="shared" ref="I6:I20" si="0">F6/G6</f>
        <v>4231562.5970689654</v>
      </c>
      <c r="J6" s="66">
        <v>117627522.65805098</v>
      </c>
      <c r="K6" s="66">
        <v>53048563.022765994</v>
      </c>
      <c r="L6" s="66">
        <v>7854091.1513740011</v>
      </c>
      <c r="M6" s="66">
        <v>7213124.968274001</v>
      </c>
      <c r="N6" s="136">
        <f>SUM(J6:M6)</f>
        <v>185743301.80046499</v>
      </c>
      <c r="O6" s="137">
        <v>32</v>
      </c>
      <c r="P6" s="136" t="s">
        <v>19</v>
      </c>
      <c r="Q6" s="136">
        <f>+N6/O6</f>
        <v>5804478.1812645309</v>
      </c>
      <c r="R6" s="138">
        <f>(N6-F6)/F6*100</f>
        <v>-24.319429354161134</v>
      </c>
      <c r="S6" s="139" t="e">
        <f>(P6-H6)/H6*100</f>
        <v>#VALUE!</v>
      </c>
      <c r="T6" s="140">
        <f>(Q6-I6)/I6*100</f>
        <v>37.171034295582942</v>
      </c>
    </row>
    <row r="7" spans="1:37" s="121" customFormat="1" ht="31.5" x14ac:dyDescent="0.25">
      <c r="A7" s="131" t="s">
        <v>323</v>
      </c>
      <c r="B7" s="132">
        <v>13697412.050000001</v>
      </c>
      <c r="C7" s="132">
        <v>6062413.7000000002</v>
      </c>
      <c r="D7" s="132">
        <v>892684.27</v>
      </c>
      <c r="E7" s="133">
        <v>843751.59</v>
      </c>
      <c r="F7" s="132">
        <f t="shared" ref="F7:F65" si="1">SUM(B7:E7)</f>
        <v>21496261.609999999</v>
      </c>
      <c r="G7" s="134">
        <v>7</v>
      </c>
      <c r="H7" s="135" t="s">
        <v>19</v>
      </c>
      <c r="I7" s="136">
        <f t="shared" si="0"/>
        <v>3070894.5157142854</v>
      </c>
      <c r="J7" s="185">
        <v>13158543.839156</v>
      </c>
      <c r="K7" s="185">
        <v>3164899.2389550004</v>
      </c>
      <c r="L7" s="185">
        <v>907098.42101299984</v>
      </c>
      <c r="M7" s="185">
        <v>821496.12787299987</v>
      </c>
      <c r="N7" s="136">
        <f>SUM(J7:M7)</f>
        <v>18052037.626997001</v>
      </c>
      <c r="O7" s="137">
        <v>6</v>
      </c>
      <c r="P7" s="136" t="s">
        <v>19</v>
      </c>
      <c r="Q7" s="136">
        <f>+N7/O7</f>
        <v>3008672.9378328337</v>
      </c>
      <c r="R7" s="138">
        <f t="shared" ref="R7:R69" si="2">(N7-F7)/F7*100</f>
        <v>-16.022432390759306</v>
      </c>
      <c r="S7" s="139" t="e">
        <f t="shared" ref="S7:T69" si="3">(P7-H7)/H7*100</f>
        <v>#VALUE!</v>
      </c>
      <c r="T7" s="140">
        <f t="shared" si="3"/>
        <v>-2.0261711225525132</v>
      </c>
    </row>
    <row r="8" spans="1:37" s="121" customFormat="1" ht="63" x14ac:dyDescent="0.25">
      <c r="A8" s="131" t="s">
        <v>324</v>
      </c>
      <c r="B8" s="132">
        <v>75305900.829999998</v>
      </c>
      <c r="C8" s="132">
        <v>14764022.33</v>
      </c>
      <c r="D8" s="132">
        <v>4588867.32</v>
      </c>
      <c r="E8" s="133">
        <v>3334609.58</v>
      </c>
      <c r="F8" s="132">
        <f t="shared" si="1"/>
        <v>97993400.059999987</v>
      </c>
      <c r="G8" s="134">
        <v>3</v>
      </c>
      <c r="H8" s="135" t="s">
        <v>19</v>
      </c>
      <c r="I8" s="136">
        <f t="shared" si="0"/>
        <v>32664466.686666664</v>
      </c>
      <c r="J8" s="66">
        <v>45005698.934294999</v>
      </c>
      <c r="K8" s="66">
        <v>10965871.435709003</v>
      </c>
      <c r="L8" s="66">
        <v>3098468.5680469996</v>
      </c>
      <c r="M8" s="66">
        <v>3292072.6227350002</v>
      </c>
      <c r="N8" s="136">
        <f>SUM(J8:M8)</f>
        <v>62362111.560786001</v>
      </c>
      <c r="O8" s="137">
        <v>2</v>
      </c>
      <c r="P8" s="136" t="s">
        <v>19</v>
      </c>
      <c r="Q8" s="136">
        <f>+N8/O8</f>
        <v>31181055.780393001</v>
      </c>
      <c r="R8" s="138">
        <f t="shared" si="2"/>
        <v>-36.360906425736275</v>
      </c>
      <c r="S8" s="139" t="e">
        <f t="shared" si="3"/>
        <v>#VALUE!</v>
      </c>
      <c r="T8" s="140">
        <f t="shared" si="3"/>
        <v>-4.5413596386044102</v>
      </c>
    </row>
    <row r="9" spans="1:37" s="121" customFormat="1" ht="47.25" x14ac:dyDescent="0.25">
      <c r="A9" s="141" t="s">
        <v>326</v>
      </c>
      <c r="B9" s="132">
        <v>83582588.790000007</v>
      </c>
      <c r="C9" s="132">
        <v>29940342.52</v>
      </c>
      <c r="D9" s="132">
        <v>4235209.49</v>
      </c>
      <c r="E9" s="133">
        <v>4628987.5999999996</v>
      </c>
      <c r="F9" s="132">
        <f t="shared" si="1"/>
        <v>122387128.39999999</v>
      </c>
      <c r="G9" s="134">
        <v>15</v>
      </c>
      <c r="H9" s="135" t="s">
        <v>38</v>
      </c>
      <c r="I9" s="136">
        <f t="shared" si="0"/>
        <v>8159141.8933333326</v>
      </c>
      <c r="J9" s="66">
        <v>35305638.616313994</v>
      </c>
      <c r="K9" s="66">
        <v>44515827.042392001</v>
      </c>
      <c r="L9" s="66">
        <v>6774349.3660979997</v>
      </c>
      <c r="M9" s="66">
        <v>6051933.6418160005</v>
      </c>
      <c r="N9" s="136">
        <f t="shared" ref="N9:N14" si="4">SUM(J9:M9)</f>
        <v>92647748.666620001</v>
      </c>
      <c r="O9" s="137">
        <v>16</v>
      </c>
      <c r="P9" s="136" t="s">
        <v>38</v>
      </c>
      <c r="Q9" s="136">
        <f>+N9/O9</f>
        <v>5790484.2916637501</v>
      </c>
      <c r="R9" s="138">
        <f t="shared" si="2"/>
        <v>-24.299434198817259</v>
      </c>
      <c r="S9" s="139" t="e">
        <f t="shared" si="3"/>
        <v>#VALUE!</v>
      </c>
      <c r="T9" s="140">
        <f t="shared" si="3"/>
        <v>-29.030719561391184</v>
      </c>
    </row>
    <row r="10" spans="1:37" ht="47.25" x14ac:dyDescent="0.25">
      <c r="A10" s="142" t="s">
        <v>327</v>
      </c>
      <c r="B10" s="132">
        <v>1831366.91</v>
      </c>
      <c r="C10" s="132">
        <v>1172563.25</v>
      </c>
      <c r="D10" s="132">
        <v>658147.74</v>
      </c>
      <c r="E10" s="133">
        <v>656163.18000000005</v>
      </c>
      <c r="F10" s="132">
        <f t="shared" si="1"/>
        <v>4318241.08</v>
      </c>
      <c r="G10" s="134">
        <v>6</v>
      </c>
      <c r="H10" s="135" t="s">
        <v>19</v>
      </c>
      <c r="I10" s="132">
        <f t="shared" si="0"/>
        <v>719706.84666666668</v>
      </c>
      <c r="J10" s="66">
        <v>1699460.1154050007</v>
      </c>
      <c r="K10" s="66">
        <v>1169463.004733</v>
      </c>
      <c r="L10" s="66">
        <v>613830.67439000006</v>
      </c>
      <c r="M10" s="66">
        <v>627459.82056200004</v>
      </c>
      <c r="N10" s="136">
        <f t="shared" si="4"/>
        <v>4110213.6150900009</v>
      </c>
      <c r="O10" s="133">
        <v>7</v>
      </c>
      <c r="P10" s="136" t="s">
        <v>19</v>
      </c>
      <c r="Q10" s="136">
        <f>+N10/O10</f>
        <v>587173.37358428584</v>
      </c>
      <c r="R10" s="138">
        <f t="shared" si="2"/>
        <v>-4.8174120216094831</v>
      </c>
      <c r="S10" s="139" t="e">
        <f t="shared" si="3"/>
        <v>#VALUE!</v>
      </c>
      <c r="T10" s="140">
        <f t="shared" si="3"/>
        <v>-18.414924589950985</v>
      </c>
    </row>
    <row r="11" spans="1:37" s="121" customFormat="1" ht="31.5" x14ac:dyDescent="0.25">
      <c r="A11" s="131" t="s">
        <v>328</v>
      </c>
      <c r="B11" s="132">
        <v>68839380.359999999</v>
      </c>
      <c r="C11" s="132">
        <v>9627089.9199999999</v>
      </c>
      <c r="D11" s="132">
        <v>3868947.34</v>
      </c>
      <c r="E11" s="133">
        <v>4455258.05</v>
      </c>
      <c r="F11" s="132">
        <f t="shared" si="1"/>
        <v>86790675.670000002</v>
      </c>
      <c r="G11" s="134">
        <v>47</v>
      </c>
      <c r="H11" s="135" t="s">
        <v>58</v>
      </c>
      <c r="I11" s="136">
        <f t="shared" si="0"/>
        <v>1846610.1206382979</v>
      </c>
      <c r="J11" s="136">
        <v>82607256.431999996</v>
      </c>
      <c r="K11" s="136">
        <v>11552507.903999999</v>
      </c>
      <c r="L11" s="136">
        <v>4642736.8080000002</v>
      </c>
      <c r="M11" s="136">
        <v>5346309.66</v>
      </c>
      <c r="N11" s="136">
        <f t="shared" si="4"/>
        <v>104148810.80399999</v>
      </c>
      <c r="O11" s="137">
        <v>53</v>
      </c>
      <c r="P11" s="135" t="s">
        <v>58</v>
      </c>
      <c r="Q11" s="132">
        <f t="shared" ref="Q11:Q74" si="5">+N11/O11</f>
        <v>1965071.901962264</v>
      </c>
      <c r="R11" s="138">
        <f t="shared" si="2"/>
        <v>19.999999999999986</v>
      </c>
      <c r="S11" s="139" t="e">
        <f t="shared" si="3"/>
        <v>#VALUE!</v>
      </c>
      <c r="T11" s="140">
        <f t="shared" si="3"/>
        <v>6.4150943396226321</v>
      </c>
    </row>
    <row r="12" spans="1:37" ht="63" x14ac:dyDescent="0.25">
      <c r="A12" s="113" t="s">
        <v>329</v>
      </c>
      <c r="B12" s="132">
        <v>3494183.26</v>
      </c>
      <c r="C12" s="132">
        <v>424219.52</v>
      </c>
      <c r="D12" s="132">
        <v>304886.34999999998</v>
      </c>
      <c r="E12" s="133">
        <v>854898.1</v>
      </c>
      <c r="F12" s="132">
        <f>SUM(B12:E12)</f>
        <v>5078187.2299999995</v>
      </c>
      <c r="G12" s="134">
        <v>11</v>
      </c>
      <c r="H12" s="135" t="s">
        <v>38</v>
      </c>
      <c r="I12" s="132">
        <f t="shared" si="0"/>
        <v>461653.38454545452</v>
      </c>
      <c r="J12" s="136">
        <v>3668892.423</v>
      </c>
      <c r="K12" s="136">
        <v>445430.49600000004</v>
      </c>
      <c r="L12" s="136">
        <v>320130.66749999998</v>
      </c>
      <c r="M12" s="136">
        <v>897643.005</v>
      </c>
      <c r="N12" s="136">
        <f t="shared" si="4"/>
        <v>5332096.5915000001</v>
      </c>
      <c r="O12" s="133">
        <v>19</v>
      </c>
      <c r="P12" s="136" t="s">
        <v>38</v>
      </c>
      <c r="Q12" s="132">
        <f t="shared" si="5"/>
        <v>280636.66271052632</v>
      </c>
      <c r="R12" s="138">
        <f t="shared" si="2"/>
        <v>5.0000000000000124</v>
      </c>
      <c r="S12" s="139" t="e">
        <f t="shared" si="3"/>
        <v>#VALUE!</v>
      </c>
      <c r="T12" s="140">
        <f t="shared" si="3"/>
        <v>-39.210526315789465</v>
      </c>
    </row>
    <row r="13" spans="1:37" s="121" customFormat="1" ht="35.25" customHeight="1" x14ac:dyDescent="0.25">
      <c r="A13" s="131" t="s">
        <v>330</v>
      </c>
      <c r="B13" s="132">
        <v>245984741.94999999</v>
      </c>
      <c r="C13" s="132">
        <v>39561580.770000003</v>
      </c>
      <c r="D13" s="132">
        <v>18186141.059999999</v>
      </c>
      <c r="E13" s="133">
        <v>25017526.27</v>
      </c>
      <c r="F13" s="132">
        <f t="shared" si="1"/>
        <v>328749990.04999995</v>
      </c>
      <c r="G13" s="134">
        <v>26</v>
      </c>
      <c r="H13" s="135" t="s">
        <v>38</v>
      </c>
      <c r="I13" s="136">
        <f t="shared" si="0"/>
        <v>12644230.386538459</v>
      </c>
      <c r="J13" s="66">
        <v>183733374.70345098</v>
      </c>
      <c r="K13" s="66">
        <v>149059187.96911204</v>
      </c>
      <c r="L13" s="66">
        <v>20877055.341469005</v>
      </c>
      <c r="M13" s="66">
        <v>27228098.725009002</v>
      </c>
      <c r="N13" s="136">
        <f t="shared" si="4"/>
        <v>380897716.73904103</v>
      </c>
      <c r="O13" s="137">
        <v>42</v>
      </c>
      <c r="P13" s="135" t="s">
        <v>38</v>
      </c>
      <c r="Q13" s="132">
        <f t="shared" si="5"/>
        <v>9068993.2556914538</v>
      </c>
      <c r="R13" s="138">
        <f t="shared" si="2"/>
        <v>15.862426849384809</v>
      </c>
      <c r="S13" s="139" t="e">
        <f t="shared" si="3"/>
        <v>#VALUE!</v>
      </c>
      <c r="T13" s="140">
        <f t="shared" si="3"/>
        <v>-28.275640521809393</v>
      </c>
    </row>
    <row r="14" spans="1:37" s="121" customFormat="1" ht="47.25" x14ac:dyDescent="0.25">
      <c r="A14" s="131" t="s">
        <v>331</v>
      </c>
      <c r="B14" s="132">
        <v>162680140.81</v>
      </c>
      <c r="C14" s="132">
        <v>53792064.090000004</v>
      </c>
      <c r="D14" s="132">
        <v>8192301.6299999999</v>
      </c>
      <c r="E14" s="133">
        <v>6447546.4199999999</v>
      </c>
      <c r="F14" s="132">
        <f t="shared" si="1"/>
        <v>231112052.94999999</v>
      </c>
      <c r="G14" s="134">
        <v>2202</v>
      </c>
      <c r="H14" s="135" t="s">
        <v>38</v>
      </c>
      <c r="I14" s="136">
        <f t="shared" si="0"/>
        <v>104955.51905086284</v>
      </c>
      <c r="J14" s="66">
        <v>223772955.41794199</v>
      </c>
      <c r="K14" s="66">
        <v>974262.36281199998</v>
      </c>
      <c r="L14" s="66">
        <v>1160938.174437</v>
      </c>
      <c r="M14" s="66">
        <v>1149115.7040329999</v>
      </c>
      <c r="N14" s="136">
        <f t="shared" si="4"/>
        <v>227057271.65922397</v>
      </c>
      <c r="O14" s="137">
        <v>2496</v>
      </c>
      <c r="P14" s="136" t="s">
        <v>38</v>
      </c>
      <c r="Q14" s="132">
        <f t="shared" si="5"/>
        <v>90968.45819680448</v>
      </c>
      <c r="R14" s="138">
        <f t="shared" si="2"/>
        <v>-1.7544655239825364</v>
      </c>
      <c r="S14" s="139" t="e">
        <f t="shared" si="3"/>
        <v>#VALUE!</v>
      </c>
      <c r="T14" s="140">
        <f t="shared" si="3"/>
        <v>-13.32665588293651</v>
      </c>
    </row>
    <row r="15" spans="1:37" s="121" customFormat="1" ht="63" x14ac:dyDescent="0.25">
      <c r="A15" s="131" t="s">
        <v>332</v>
      </c>
      <c r="B15" s="132">
        <v>690647.65</v>
      </c>
      <c r="C15" s="132">
        <v>1340112.93</v>
      </c>
      <c r="D15" s="132">
        <v>1409718.03</v>
      </c>
      <c r="E15" s="133">
        <v>1980998.82</v>
      </c>
      <c r="F15" s="132">
        <f t="shared" si="1"/>
        <v>5421477.4300000006</v>
      </c>
      <c r="G15" s="134">
        <v>32</v>
      </c>
      <c r="H15" s="135" t="s">
        <v>38</v>
      </c>
      <c r="I15" s="136">
        <f t="shared" si="0"/>
        <v>169421.16968750002</v>
      </c>
      <c r="J15" s="81">
        <v>4851601.9525570003</v>
      </c>
      <c r="K15" s="81">
        <v>531497.860307</v>
      </c>
      <c r="L15" s="81">
        <v>399962.22483399994</v>
      </c>
      <c r="M15" s="81">
        <v>311061.14509100001</v>
      </c>
      <c r="N15" s="136">
        <f t="shared" ref="N15:N78" si="6">SUM(J15:M15)</f>
        <v>6094123.1827889998</v>
      </c>
      <c r="O15" s="145">
        <v>35</v>
      </c>
      <c r="P15" s="135" t="s">
        <v>38</v>
      </c>
      <c r="Q15" s="132">
        <f t="shared" si="5"/>
        <v>174117.80522254284</v>
      </c>
      <c r="R15" s="138">
        <f t="shared" si="2"/>
        <v>12.407056221739154</v>
      </c>
      <c r="S15" s="139" t="e">
        <f t="shared" si="3"/>
        <v>#VALUE!</v>
      </c>
      <c r="T15" s="140">
        <f t="shared" si="3"/>
        <v>2.7721656884472217</v>
      </c>
    </row>
    <row r="16" spans="1:37" s="121" customFormat="1" ht="47.25" x14ac:dyDescent="0.25">
      <c r="A16" s="131" t="s">
        <v>333</v>
      </c>
      <c r="B16" s="132">
        <v>195172564.62</v>
      </c>
      <c r="C16" s="132">
        <v>39225196.630000003</v>
      </c>
      <c r="D16" s="132">
        <v>18527583.91</v>
      </c>
      <c r="E16" s="133">
        <v>18859399.41</v>
      </c>
      <c r="F16" s="132">
        <f t="shared" si="1"/>
        <v>271784744.56999999</v>
      </c>
      <c r="G16" s="134">
        <v>13</v>
      </c>
      <c r="H16" s="135" t="s">
        <v>38</v>
      </c>
      <c r="I16" s="136">
        <f t="shared" si="0"/>
        <v>20906518.813076921</v>
      </c>
      <c r="J16" s="81">
        <v>121996091.51053199</v>
      </c>
      <c r="K16" s="81">
        <v>60982744.163526006</v>
      </c>
      <c r="L16" s="81">
        <v>8486818.697532</v>
      </c>
      <c r="M16" s="81">
        <v>19471030.179846</v>
      </c>
      <c r="N16" s="136">
        <f t="shared" si="6"/>
        <v>210936684.55143598</v>
      </c>
      <c r="O16" s="137">
        <v>8</v>
      </c>
      <c r="P16" s="135" t="s">
        <v>38</v>
      </c>
      <c r="Q16" s="132">
        <f t="shared" si="5"/>
        <v>26367085.568929497</v>
      </c>
      <c r="R16" s="138">
        <f t="shared" si="2"/>
        <v>-22.388327981702517</v>
      </c>
      <c r="S16" s="139" t="e">
        <f t="shared" si="3"/>
        <v>#VALUE!</v>
      </c>
      <c r="T16" s="140">
        <f t="shared" si="3"/>
        <v>26.118967029733426</v>
      </c>
    </row>
    <row r="17" spans="1:20" s="121" customFormat="1" ht="47.25" x14ac:dyDescent="0.25">
      <c r="A17" s="131" t="s">
        <v>334</v>
      </c>
      <c r="B17" s="132">
        <v>31875997.550000001</v>
      </c>
      <c r="C17" s="132">
        <v>131740.62</v>
      </c>
      <c r="D17" s="132">
        <v>138676.16</v>
      </c>
      <c r="E17" s="133">
        <v>315859.39</v>
      </c>
      <c r="F17" s="132">
        <f t="shared" si="1"/>
        <v>32462273.720000003</v>
      </c>
      <c r="G17" s="134">
        <v>1</v>
      </c>
      <c r="H17" s="135" t="s">
        <v>19</v>
      </c>
      <c r="I17" s="136">
        <f t="shared" si="0"/>
        <v>32462273.720000003</v>
      </c>
      <c r="J17" s="81">
        <v>23961001.013439</v>
      </c>
      <c r="K17" s="81">
        <v>6868935.8759289989</v>
      </c>
      <c r="L17" s="81">
        <v>1679284.887722</v>
      </c>
      <c r="M17" s="81">
        <v>2048142.8863889999</v>
      </c>
      <c r="N17" s="136">
        <f t="shared" si="6"/>
        <v>34557364.663479</v>
      </c>
      <c r="O17" s="137">
        <v>2</v>
      </c>
      <c r="P17" s="135" t="s">
        <v>19</v>
      </c>
      <c r="Q17" s="132">
        <f t="shared" si="5"/>
        <v>17278682.3317395</v>
      </c>
      <c r="R17" s="138">
        <f t="shared" si="2"/>
        <v>6.4539254445020982</v>
      </c>
      <c r="S17" s="139" t="e">
        <f t="shared" si="3"/>
        <v>#VALUE!</v>
      </c>
      <c r="T17" s="140">
        <f t="shared" si="3"/>
        <v>-46.773037277748955</v>
      </c>
    </row>
    <row r="18" spans="1:20" ht="31.5" x14ac:dyDescent="0.25">
      <c r="A18" s="113" t="s">
        <v>335</v>
      </c>
      <c r="B18" s="132">
        <v>83920309.730000004</v>
      </c>
      <c r="C18" s="132">
        <v>42003089.039999999</v>
      </c>
      <c r="D18" s="132">
        <v>4910772.0199999996</v>
      </c>
      <c r="E18" s="133">
        <v>4487877.55</v>
      </c>
      <c r="F18" s="132">
        <f t="shared" si="1"/>
        <v>135322048.34</v>
      </c>
      <c r="G18" s="146">
        <v>70</v>
      </c>
      <c r="H18" s="135" t="s">
        <v>58</v>
      </c>
      <c r="I18" s="132">
        <f t="shared" si="0"/>
        <v>1933172.1191428571</v>
      </c>
      <c r="J18" s="81">
        <v>41149666.715585701</v>
      </c>
      <c r="K18" s="81">
        <v>106118350.86067779</v>
      </c>
      <c r="L18" s="81">
        <v>4272110.7904021628</v>
      </c>
      <c r="M18" s="81">
        <v>937309.1428760218</v>
      </c>
      <c r="N18" s="136">
        <f t="shared" si="6"/>
        <v>152477437.50954169</v>
      </c>
      <c r="O18" s="137">
        <v>75</v>
      </c>
      <c r="P18" s="135" t="s">
        <v>58</v>
      </c>
      <c r="Q18" s="132">
        <f t="shared" si="5"/>
        <v>2033032.5001272226</v>
      </c>
      <c r="R18" s="138">
        <f t="shared" si="2"/>
        <v>12.677453068430022</v>
      </c>
      <c r="S18" s="139" t="e">
        <f t="shared" si="3"/>
        <v>#VALUE!</v>
      </c>
      <c r="T18" s="140">
        <f t="shared" si="3"/>
        <v>5.1656228638680268</v>
      </c>
    </row>
    <row r="19" spans="1:20" ht="31.5" x14ac:dyDescent="0.25">
      <c r="A19" s="113" t="s">
        <v>336</v>
      </c>
      <c r="B19" s="132">
        <v>102144956.67</v>
      </c>
      <c r="C19" s="132">
        <v>11829246.9</v>
      </c>
      <c r="D19" s="132">
        <v>6747770.5199999996</v>
      </c>
      <c r="E19" s="133">
        <v>6428779.79</v>
      </c>
      <c r="F19" s="132">
        <f t="shared" si="1"/>
        <v>127150753.88000001</v>
      </c>
      <c r="G19" s="134">
        <v>6968</v>
      </c>
      <c r="H19" s="135" t="s">
        <v>65</v>
      </c>
      <c r="I19" s="132">
        <f t="shared" si="0"/>
        <v>18247.811980482205</v>
      </c>
      <c r="J19" s="132">
        <v>119480302.8</v>
      </c>
      <c r="K19" s="132">
        <v>9032456.2300000004</v>
      </c>
      <c r="L19" s="132">
        <v>7409453.4800000004</v>
      </c>
      <c r="M19" s="132">
        <v>6956078.3600000003</v>
      </c>
      <c r="N19" s="132">
        <f t="shared" si="6"/>
        <v>142878290.87</v>
      </c>
      <c r="O19" s="133">
        <v>7215</v>
      </c>
      <c r="P19" s="135" t="s">
        <v>65</v>
      </c>
      <c r="Q19" s="132">
        <f t="shared" si="5"/>
        <v>19802.950917532919</v>
      </c>
      <c r="R19" s="138">
        <f t="shared" si="2"/>
        <v>12.369204672465441</v>
      </c>
      <c r="S19" s="139" t="e">
        <f t="shared" si="3"/>
        <v>#VALUE!</v>
      </c>
      <c r="T19" s="140">
        <f t="shared" si="3"/>
        <v>8.522330998993656</v>
      </c>
    </row>
    <row r="20" spans="1:20" ht="31.5" x14ac:dyDescent="0.25">
      <c r="A20" s="113" t="s">
        <v>337</v>
      </c>
      <c r="B20" s="132">
        <v>52135493.729999997</v>
      </c>
      <c r="C20" s="132">
        <v>5940539.8399999999</v>
      </c>
      <c r="D20" s="132">
        <v>3156242.4</v>
      </c>
      <c r="E20" s="133">
        <v>8169791.1100000003</v>
      </c>
      <c r="F20" s="132">
        <f t="shared" si="1"/>
        <v>69402067.079999998</v>
      </c>
      <c r="G20" s="147">
        <v>1</v>
      </c>
      <c r="H20" s="135" t="s">
        <v>58</v>
      </c>
      <c r="I20" s="132">
        <f t="shared" si="0"/>
        <v>69402067.079999998</v>
      </c>
      <c r="J20" s="132">
        <v>45903492.28796</v>
      </c>
      <c r="K20" s="132">
        <v>9470592.0602250006</v>
      </c>
      <c r="L20" s="132">
        <v>3388680.3624249995</v>
      </c>
      <c r="M20" s="132">
        <v>4930773.8955199998</v>
      </c>
      <c r="N20" s="132">
        <f t="shared" si="6"/>
        <v>63693538.606130004</v>
      </c>
      <c r="O20" s="133">
        <v>1</v>
      </c>
      <c r="P20" s="132" t="s">
        <v>58</v>
      </c>
      <c r="Q20" s="132">
        <f t="shared" si="5"/>
        <v>63693538.606130004</v>
      </c>
      <c r="R20" s="138">
        <f t="shared" si="2"/>
        <v>-8.2253003607079229</v>
      </c>
      <c r="S20" s="139" t="e">
        <f t="shared" si="3"/>
        <v>#VALUE!</v>
      </c>
      <c r="T20" s="140">
        <f t="shared" si="3"/>
        <v>-8.2253003607079229</v>
      </c>
    </row>
    <row r="21" spans="1:20" s="121" customFormat="1" ht="15.75" customHeight="1" x14ac:dyDescent="0.25">
      <c r="A21" s="131" t="s">
        <v>338</v>
      </c>
      <c r="B21" s="148">
        <v>95858421.760000005</v>
      </c>
      <c r="C21" s="149">
        <v>60287207.880000003</v>
      </c>
      <c r="D21" s="149">
        <v>6529036.8399999999</v>
      </c>
      <c r="E21" s="149">
        <v>6570492.8799999999</v>
      </c>
      <c r="F21" s="149">
        <f t="shared" si="1"/>
        <v>169245159.36000001</v>
      </c>
      <c r="G21" s="149">
        <v>12</v>
      </c>
      <c r="H21" s="135" t="s">
        <v>75</v>
      </c>
      <c r="I21" s="136">
        <f>F21/G21</f>
        <v>14103763.280000001</v>
      </c>
      <c r="J21" s="81">
        <v>31965028.37311098</v>
      </c>
      <c r="K21" s="81">
        <v>131823418.42062598</v>
      </c>
      <c r="L21" s="81">
        <v>18766533.211645</v>
      </c>
      <c r="M21" s="81">
        <v>5124920.4393980056</v>
      </c>
      <c r="N21" s="136">
        <f t="shared" si="6"/>
        <v>187679900.44477999</v>
      </c>
      <c r="O21" s="137">
        <v>15</v>
      </c>
      <c r="P21" s="136" t="s">
        <v>75</v>
      </c>
      <c r="Q21" s="132">
        <f t="shared" si="5"/>
        <v>12511993.362985333</v>
      </c>
      <c r="R21" s="138">
        <f t="shared" si="2"/>
        <v>10.892329892619019</v>
      </c>
      <c r="S21" s="139" t="e">
        <f t="shared" si="3"/>
        <v>#VALUE!</v>
      </c>
      <c r="T21" s="140">
        <f t="shared" si="3"/>
        <v>-11.286136085904779</v>
      </c>
    </row>
    <row r="22" spans="1:20" ht="31.5" x14ac:dyDescent="0.25">
      <c r="A22" s="113" t="s">
        <v>339</v>
      </c>
      <c r="B22" s="132">
        <v>113402273.98</v>
      </c>
      <c r="C22" s="132">
        <v>84417595.329999998</v>
      </c>
      <c r="D22" s="132">
        <v>13915464.24</v>
      </c>
      <c r="E22" s="133">
        <v>7259054.4500000002</v>
      </c>
      <c r="F22" s="132">
        <f t="shared" si="1"/>
        <v>218994388</v>
      </c>
      <c r="G22" s="147">
        <v>4225463</v>
      </c>
      <c r="H22" s="135" t="s">
        <v>49</v>
      </c>
      <c r="I22" s="132">
        <f>F22/G22</f>
        <v>51.827311705249812</v>
      </c>
      <c r="J22" s="81">
        <v>148034690.87112099</v>
      </c>
      <c r="K22" s="81">
        <v>47873280.400821999</v>
      </c>
      <c r="L22" s="81">
        <v>9877490.5244549997</v>
      </c>
      <c r="M22" s="81">
        <v>15392149.964977998</v>
      </c>
      <c r="N22" s="136">
        <f t="shared" si="6"/>
        <v>221177611.76137599</v>
      </c>
      <c r="O22" s="137">
        <v>4356220</v>
      </c>
      <c r="P22" s="136" t="s">
        <v>49</v>
      </c>
      <c r="Q22" s="132">
        <f t="shared" si="5"/>
        <v>50.772828682062887</v>
      </c>
      <c r="R22" s="138">
        <f t="shared" si="2"/>
        <v>0.99693137404781051</v>
      </c>
      <c r="S22" s="139" t="e">
        <f t="shared" si="3"/>
        <v>#VALUE!</v>
      </c>
      <c r="T22" s="140">
        <f t="shared" si="3"/>
        <v>-2.0346087583780896</v>
      </c>
    </row>
    <row r="23" spans="1:20" ht="47.25" x14ac:dyDescent="0.25">
      <c r="A23" s="113" t="s">
        <v>340</v>
      </c>
      <c r="B23" s="132">
        <v>22551981.75</v>
      </c>
      <c r="C23" s="132">
        <v>9539292.7799999993</v>
      </c>
      <c r="D23" s="132">
        <v>908033.76</v>
      </c>
      <c r="E23" s="133">
        <v>912282.5</v>
      </c>
      <c r="F23" s="132">
        <f t="shared" si="1"/>
        <v>33911590.790000007</v>
      </c>
      <c r="G23" s="134">
        <v>70</v>
      </c>
      <c r="H23" s="135" t="s">
        <v>19</v>
      </c>
      <c r="I23" s="132">
        <f t="shared" ref="I23:I28" si="7">F23/G23</f>
        <v>484451.29700000008</v>
      </c>
      <c r="J23" s="150">
        <v>23634878.030000001</v>
      </c>
      <c r="K23" s="150">
        <v>11628761.5</v>
      </c>
      <c r="L23" s="150">
        <v>853908.54</v>
      </c>
      <c r="M23" s="150">
        <v>1231886.3400000001</v>
      </c>
      <c r="N23" s="132">
        <f t="shared" si="6"/>
        <v>37349434.410000004</v>
      </c>
      <c r="O23" s="133">
        <v>75</v>
      </c>
      <c r="P23" s="132" t="s">
        <v>19</v>
      </c>
      <c r="Q23" s="132">
        <f t="shared" si="5"/>
        <v>497992.45880000008</v>
      </c>
      <c r="R23" s="138">
        <f t="shared" si="2"/>
        <v>10.137665440967055</v>
      </c>
      <c r="S23" s="139" t="e">
        <f t="shared" si="3"/>
        <v>#VALUE!</v>
      </c>
      <c r="T23" s="140">
        <f t="shared" si="3"/>
        <v>2.7951544115692601</v>
      </c>
    </row>
    <row r="24" spans="1:20" s="121" customFormat="1" ht="31.5" x14ac:dyDescent="0.25">
      <c r="A24" s="131" t="s">
        <v>341</v>
      </c>
      <c r="B24" s="132">
        <v>76168280.010000005</v>
      </c>
      <c r="C24" s="132">
        <v>43672960.170000002</v>
      </c>
      <c r="D24" s="132">
        <v>4146658.75</v>
      </c>
      <c r="E24" s="133">
        <v>4214154.9000000004</v>
      </c>
      <c r="F24" s="132">
        <f t="shared" si="1"/>
        <v>128202053.83000001</v>
      </c>
      <c r="G24" s="134">
        <v>1</v>
      </c>
      <c r="H24" s="135" t="s">
        <v>19</v>
      </c>
      <c r="I24" s="136">
        <f t="shared" si="7"/>
        <v>128202053.83000001</v>
      </c>
      <c r="J24" s="81">
        <v>76291046.860000998</v>
      </c>
      <c r="K24" s="81">
        <v>20667548.002666</v>
      </c>
      <c r="L24" s="81">
        <v>3498392.3609209997</v>
      </c>
      <c r="M24" s="81">
        <v>3188245.2634599996</v>
      </c>
      <c r="N24" s="136">
        <f t="shared" si="6"/>
        <v>103645232.48704799</v>
      </c>
      <c r="O24" s="137">
        <v>1</v>
      </c>
      <c r="P24" s="136" t="s">
        <v>19</v>
      </c>
      <c r="Q24" s="132">
        <f t="shared" si="5"/>
        <v>103645232.48704799</v>
      </c>
      <c r="R24" s="138">
        <f t="shared" si="2"/>
        <v>-19.154779981540042</v>
      </c>
      <c r="S24" s="139" t="e">
        <f t="shared" si="3"/>
        <v>#VALUE!</v>
      </c>
      <c r="T24" s="140">
        <f t="shared" si="3"/>
        <v>-19.154779981540042</v>
      </c>
    </row>
    <row r="25" spans="1:20" s="121" customFormat="1" ht="31.5" x14ac:dyDescent="0.25">
      <c r="A25" s="131" t="s">
        <v>342</v>
      </c>
      <c r="B25" s="132">
        <v>15364112.17</v>
      </c>
      <c r="C25" s="132">
        <v>894294.78</v>
      </c>
      <c r="D25" s="132">
        <v>542463.51</v>
      </c>
      <c r="E25" s="133">
        <v>572395.85</v>
      </c>
      <c r="F25" s="132">
        <f t="shared" si="1"/>
        <v>17373266.310000002</v>
      </c>
      <c r="G25" s="134">
        <v>13</v>
      </c>
      <c r="H25" s="135" t="s">
        <v>84</v>
      </c>
      <c r="I25" s="136">
        <f t="shared" si="7"/>
        <v>1336405.1007692309</v>
      </c>
      <c r="J25" s="186">
        <v>14336517.043372001</v>
      </c>
      <c r="K25" s="186">
        <v>846364.72884699993</v>
      </c>
      <c r="L25" s="186">
        <v>607807.02101199992</v>
      </c>
      <c r="M25" s="186">
        <v>467771.47292000003</v>
      </c>
      <c r="N25" s="136">
        <f t="shared" si="6"/>
        <v>16258460.266151004</v>
      </c>
      <c r="O25" s="137">
        <v>14</v>
      </c>
      <c r="P25" s="136" t="s">
        <v>84</v>
      </c>
      <c r="Q25" s="132">
        <f t="shared" si="5"/>
        <v>1161318.5904393573</v>
      </c>
      <c r="R25" s="138">
        <f t="shared" si="2"/>
        <v>-6.4167901645951266</v>
      </c>
      <c r="S25" s="139" t="e">
        <f t="shared" si="3"/>
        <v>#VALUE!</v>
      </c>
      <c r="T25" s="140">
        <f t="shared" si="3"/>
        <v>-13.10130515283833</v>
      </c>
    </row>
    <row r="26" spans="1:20" x14ac:dyDescent="0.25">
      <c r="A26" s="113" t="s">
        <v>343</v>
      </c>
      <c r="B26" s="132">
        <v>190584.43</v>
      </c>
      <c r="C26" s="132">
        <v>108390.51</v>
      </c>
      <c r="D26" s="132">
        <v>113947.48</v>
      </c>
      <c r="E26" s="133">
        <v>99256.58</v>
      </c>
      <c r="F26" s="132">
        <f t="shared" si="1"/>
        <v>512179</v>
      </c>
      <c r="G26" s="134">
        <v>1</v>
      </c>
      <c r="H26" s="135" t="s">
        <v>19</v>
      </c>
      <c r="I26" s="132">
        <f t="shared" si="7"/>
        <v>512179</v>
      </c>
      <c r="J26" s="81">
        <v>300774.65534500033</v>
      </c>
      <c r="K26" s="81">
        <v>167910.20607299916</v>
      </c>
      <c r="L26" s="81">
        <v>140522.3970140001</v>
      </c>
      <c r="M26" s="81">
        <v>143064.06262800016</v>
      </c>
      <c r="N26" s="136">
        <f t="shared" si="6"/>
        <v>752271.32105999975</v>
      </c>
      <c r="O26" s="133">
        <v>1</v>
      </c>
      <c r="P26" s="132" t="s">
        <v>19</v>
      </c>
      <c r="Q26" s="132">
        <f t="shared" si="5"/>
        <v>752271.32105999975</v>
      </c>
      <c r="R26" s="138">
        <f t="shared" si="2"/>
        <v>46.876642943189736</v>
      </c>
      <c r="S26" s="139" t="e">
        <f t="shared" si="3"/>
        <v>#VALUE!</v>
      </c>
      <c r="T26" s="140">
        <f t="shared" si="3"/>
        <v>46.876642943189736</v>
      </c>
    </row>
    <row r="27" spans="1:20" ht="31.5" x14ac:dyDescent="0.25">
      <c r="A27" s="113" t="s">
        <v>344</v>
      </c>
      <c r="B27" s="132">
        <v>1317427.77</v>
      </c>
      <c r="C27" s="132">
        <v>3298385.83</v>
      </c>
      <c r="D27" s="132">
        <v>1321780.98</v>
      </c>
      <c r="E27" s="133">
        <v>582860.43000000005</v>
      </c>
      <c r="F27" s="132">
        <f>SUM(B27:E27)</f>
        <v>6520455.0099999998</v>
      </c>
      <c r="G27" s="151">
        <v>7</v>
      </c>
      <c r="H27" s="135" t="s">
        <v>19</v>
      </c>
      <c r="I27" s="132">
        <f>F27/G27</f>
        <v>931493.57285714278</v>
      </c>
      <c r="J27" s="66">
        <v>8699460.1154050007</v>
      </c>
      <c r="K27" s="66">
        <v>1169463.004733</v>
      </c>
      <c r="L27" s="66">
        <v>613830.67439000006</v>
      </c>
      <c r="M27" s="66">
        <v>627459.82056200004</v>
      </c>
      <c r="N27" s="136">
        <f t="shared" si="6"/>
        <v>11110213.61509</v>
      </c>
      <c r="O27" s="133">
        <v>22</v>
      </c>
      <c r="P27" s="132" t="s">
        <v>19</v>
      </c>
      <c r="Q27" s="132">
        <f t="shared" si="5"/>
        <v>505009.70977681817</v>
      </c>
      <c r="R27" s="138">
        <f t="shared" si="2"/>
        <v>70.390158325622735</v>
      </c>
      <c r="S27" s="139" t="e">
        <f t="shared" si="3"/>
        <v>#VALUE!</v>
      </c>
      <c r="T27" s="140">
        <f t="shared" si="3"/>
        <v>-45.78494962366549</v>
      </c>
    </row>
    <row r="28" spans="1:20" s="121" customFormat="1" ht="63" x14ac:dyDescent="0.25">
      <c r="A28" s="131" t="s">
        <v>345</v>
      </c>
      <c r="B28" s="132">
        <v>430105484.01999998</v>
      </c>
      <c r="C28" s="132">
        <v>532567477.00999999</v>
      </c>
      <c r="D28" s="132">
        <v>28541001.710000001</v>
      </c>
      <c r="E28" s="133">
        <v>106642775.73999999</v>
      </c>
      <c r="F28" s="132">
        <f t="shared" si="1"/>
        <v>1097856738.48</v>
      </c>
      <c r="G28" s="151">
        <v>284055</v>
      </c>
      <c r="H28" s="135" t="s">
        <v>49</v>
      </c>
      <c r="I28" s="136">
        <f t="shared" si="7"/>
        <v>3864.9442484025981</v>
      </c>
      <c r="J28" s="152">
        <v>545494041.62337875</v>
      </c>
      <c r="K28" s="152">
        <v>394124723.28183603</v>
      </c>
      <c r="L28" s="152">
        <v>36954339.428374916</v>
      </c>
      <c r="M28" s="152">
        <v>115194850.74424389</v>
      </c>
      <c r="N28" s="136">
        <f t="shared" si="6"/>
        <v>1091767955.0778337</v>
      </c>
      <c r="O28" s="153">
        <v>256900</v>
      </c>
      <c r="P28" s="144" t="s">
        <v>49</v>
      </c>
      <c r="Q28" s="132">
        <f t="shared" si="5"/>
        <v>4249.7779489211116</v>
      </c>
      <c r="R28" s="138">
        <f t="shared" si="2"/>
        <v>-0.55460636973421351</v>
      </c>
      <c r="S28" s="139" t="e">
        <f t="shared" si="3"/>
        <v>#VALUE!</v>
      </c>
      <c r="T28" s="140">
        <f t="shared" si="3"/>
        <v>9.9570310924295296</v>
      </c>
    </row>
    <row r="29" spans="1:20" ht="63" x14ac:dyDescent="0.25">
      <c r="A29" s="113" t="s">
        <v>346</v>
      </c>
      <c r="B29" s="132">
        <v>89718447.170000002</v>
      </c>
      <c r="C29" s="132">
        <v>36839321.75</v>
      </c>
      <c r="D29" s="132">
        <v>5073202.08</v>
      </c>
      <c r="E29" s="133">
        <v>11425942.51</v>
      </c>
      <c r="F29" s="132">
        <f t="shared" si="1"/>
        <v>143056913.50999999</v>
      </c>
      <c r="G29" s="67">
        <v>20</v>
      </c>
      <c r="H29" s="135" t="s">
        <v>38</v>
      </c>
      <c r="I29" s="132">
        <f>F29/G29</f>
        <v>7152845.6754999999</v>
      </c>
      <c r="J29" s="81">
        <v>129699006.563612</v>
      </c>
      <c r="K29" s="81">
        <v>11317853.379139001</v>
      </c>
      <c r="L29" s="81">
        <v>5361337.6730810003</v>
      </c>
      <c r="M29" s="81">
        <v>4683723.8001860008</v>
      </c>
      <c r="N29" s="136">
        <f t="shared" si="6"/>
        <v>151061921.41601801</v>
      </c>
      <c r="O29" s="133">
        <v>32</v>
      </c>
      <c r="P29" s="132" t="s">
        <v>38</v>
      </c>
      <c r="Q29" s="132">
        <f t="shared" si="5"/>
        <v>4720685.0442505628</v>
      </c>
      <c r="R29" s="138">
        <f t="shared" si="2"/>
        <v>5.5956805648952095</v>
      </c>
      <c r="S29" s="139" t="e">
        <f t="shared" si="3"/>
        <v>#VALUE!</v>
      </c>
      <c r="T29" s="140">
        <f t="shared" si="3"/>
        <v>-34.002699646940499</v>
      </c>
    </row>
    <row r="30" spans="1:20" s="121" customFormat="1" ht="31.5" customHeight="1" x14ac:dyDescent="0.25">
      <c r="A30" s="131" t="s">
        <v>347</v>
      </c>
      <c r="B30" s="154">
        <v>135428736.00999999</v>
      </c>
      <c r="C30" s="154">
        <v>38976211.780000001</v>
      </c>
      <c r="D30" s="154">
        <v>11240935.609999999</v>
      </c>
      <c r="E30" s="133">
        <v>8432052.2699999996</v>
      </c>
      <c r="F30" s="132">
        <f t="shared" si="1"/>
        <v>194077935.66999999</v>
      </c>
      <c r="G30" s="134">
        <v>1550060</v>
      </c>
      <c r="H30" s="135" t="s">
        <v>49</v>
      </c>
      <c r="I30" s="136">
        <f>F30/G30</f>
        <v>125.20672468807658</v>
      </c>
      <c r="J30" s="81">
        <v>62342226.681299001</v>
      </c>
      <c r="K30" s="81">
        <v>12102490.016268</v>
      </c>
      <c r="L30" s="81">
        <v>4800480.7685799999</v>
      </c>
      <c r="M30" s="81">
        <v>3602827.0344040003</v>
      </c>
      <c r="N30" s="136">
        <f t="shared" si="6"/>
        <v>82848024.500551</v>
      </c>
      <c r="O30" s="137">
        <v>1625340</v>
      </c>
      <c r="P30" s="136" t="s">
        <v>49</v>
      </c>
      <c r="Q30" s="132">
        <f t="shared" si="5"/>
        <v>50.97273462817072</v>
      </c>
      <c r="R30" s="138">
        <f t="shared" si="2"/>
        <v>-57.311981800228196</v>
      </c>
      <c r="S30" s="139" t="e">
        <f t="shared" si="3"/>
        <v>#VALUE!</v>
      </c>
      <c r="T30" s="140">
        <f t="shared" si="3"/>
        <v>-59.289139816445626</v>
      </c>
    </row>
    <row r="31" spans="1:20" ht="31.5" customHeight="1" x14ac:dyDescent="0.25">
      <c r="A31" s="113" t="s">
        <v>348</v>
      </c>
      <c r="B31" s="154">
        <v>72893975.040000007</v>
      </c>
      <c r="C31" s="154">
        <v>19453866.48</v>
      </c>
      <c r="D31" s="154">
        <v>5563163.6200000001</v>
      </c>
      <c r="E31" s="133">
        <v>4986866.4400000004</v>
      </c>
      <c r="F31" s="132">
        <f t="shared" si="1"/>
        <v>102897871.58000001</v>
      </c>
      <c r="G31" s="134">
        <v>89</v>
      </c>
      <c r="H31" s="135" t="s">
        <v>49</v>
      </c>
      <c r="I31" s="132">
        <f>F31/G31</f>
        <v>1156155.8604494384</v>
      </c>
      <c r="J31" s="81">
        <v>86348004.285422996</v>
      </c>
      <c r="K31" s="81">
        <v>13607796.718258999</v>
      </c>
      <c r="L31" s="81">
        <v>5371055.1694600005</v>
      </c>
      <c r="M31" s="81">
        <v>4441265.5903009996</v>
      </c>
      <c r="N31" s="132">
        <f t="shared" si="6"/>
        <v>109768121.76344299</v>
      </c>
      <c r="O31" s="133">
        <v>102</v>
      </c>
      <c r="P31" s="132" t="s">
        <v>49</v>
      </c>
      <c r="Q31" s="132">
        <f t="shared" si="5"/>
        <v>1076158.0565043432</v>
      </c>
      <c r="R31" s="138">
        <f t="shared" si="2"/>
        <v>6.6767660768391757</v>
      </c>
      <c r="S31" s="139" t="e">
        <f t="shared" si="3"/>
        <v>#VALUE!</v>
      </c>
      <c r="T31" s="140">
        <f t="shared" si="3"/>
        <v>-6.919292344718758</v>
      </c>
    </row>
    <row r="32" spans="1:20" s="121" customFormat="1" ht="31.5" customHeight="1" x14ac:dyDescent="0.25">
      <c r="A32" s="131" t="s">
        <v>349</v>
      </c>
      <c r="B32" s="154">
        <v>13356028.880000001</v>
      </c>
      <c r="C32" s="154">
        <v>2398998.36</v>
      </c>
      <c r="D32" s="154">
        <v>1053568.33</v>
      </c>
      <c r="E32" s="133">
        <v>808939.66</v>
      </c>
      <c r="F32" s="132">
        <f t="shared" si="1"/>
        <v>17617535.23</v>
      </c>
      <c r="G32" s="134">
        <v>1</v>
      </c>
      <c r="H32" s="135" t="s">
        <v>19</v>
      </c>
      <c r="I32" s="136">
        <f>F32/G32</f>
        <v>17617535.23</v>
      </c>
      <c r="J32" s="81">
        <v>12843527.521205999</v>
      </c>
      <c r="K32" s="81">
        <v>1837966.58406</v>
      </c>
      <c r="L32" s="81">
        <v>942347.79551299987</v>
      </c>
      <c r="M32" s="81">
        <v>731089.97045499994</v>
      </c>
      <c r="N32" s="136">
        <f t="shared" si="6"/>
        <v>16354931.871234</v>
      </c>
      <c r="O32" s="137">
        <v>1</v>
      </c>
      <c r="P32" s="136" t="s">
        <v>19</v>
      </c>
      <c r="Q32" s="132">
        <f t="shared" si="5"/>
        <v>16354931.871234</v>
      </c>
      <c r="R32" s="138">
        <f t="shared" si="2"/>
        <v>-7.1667423523352909</v>
      </c>
      <c r="S32" s="139" t="e">
        <f t="shared" si="3"/>
        <v>#VALUE!</v>
      </c>
      <c r="T32" s="140">
        <f t="shared" si="3"/>
        <v>-7.1667423523352909</v>
      </c>
    </row>
    <row r="33" spans="1:20" s="121" customFormat="1" ht="31.5" customHeight="1" x14ac:dyDescent="0.25">
      <c r="A33" s="131" t="s">
        <v>350</v>
      </c>
      <c r="B33" s="154">
        <v>29131519.170000002</v>
      </c>
      <c r="C33" s="154">
        <v>15085488.26</v>
      </c>
      <c r="D33" s="154">
        <v>2432327.98</v>
      </c>
      <c r="E33" s="133">
        <v>1704905.92</v>
      </c>
      <c r="F33" s="132">
        <f t="shared" si="1"/>
        <v>48354241.329999998</v>
      </c>
      <c r="G33" s="134">
        <v>1</v>
      </c>
      <c r="H33" s="135" t="s">
        <v>19</v>
      </c>
      <c r="I33" s="136">
        <f t="shared" ref="I33:I84" si="8">F33/G33</f>
        <v>48354241.329999998</v>
      </c>
      <c r="J33" s="81">
        <v>27707236.664516997</v>
      </c>
      <c r="K33" s="81">
        <v>8378827.4995129993</v>
      </c>
      <c r="L33" s="81">
        <v>2102998.5596529995</v>
      </c>
      <c r="M33" s="81">
        <v>1569507.1210670001</v>
      </c>
      <c r="N33" s="136">
        <f t="shared" si="6"/>
        <v>39758569.844749995</v>
      </c>
      <c r="O33" s="137">
        <v>1</v>
      </c>
      <c r="P33" s="136" t="s">
        <v>19</v>
      </c>
      <c r="Q33" s="132">
        <f t="shared" si="5"/>
        <v>39758569.844749995</v>
      </c>
      <c r="R33" s="138">
        <f t="shared" si="2"/>
        <v>-17.776458173726049</v>
      </c>
      <c r="S33" s="139" t="e">
        <f t="shared" si="3"/>
        <v>#VALUE!</v>
      </c>
      <c r="T33" s="140">
        <f t="shared" si="3"/>
        <v>-17.776458173726049</v>
      </c>
    </row>
    <row r="34" spans="1:20" ht="47.25" x14ac:dyDescent="0.25">
      <c r="A34" s="113" t="s">
        <v>351</v>
      </c>
      <c r="B34" s="154">
        <v>4924845.2300000004</v>
      </c>
      <c r="C34" s="154">
        <v>31707889.690000001</v>
      </c>
      <c r="D34" s="154">
        <v>377805.51</v>
      </c>
      <c r="E34" s="133">
        <v>303547.81</v>
      </c>
      <c r="F34" s="132">
        <f t="shared" si="1"/>
        <v>37314088.240000002</v>
      </c>
      <c r="G34" s="134">
        <v>20</v>
      </c>
      <c r="H34" s="135" t="s">
        <v>38</v>
      </c>
      <c r="I34" s="132">
        <f t="shared" si="8"/>
        <v>1865704.412</v>
      </c>
      <c r="J34" s="81">
        <v>44600987.789325997</v>
      </c>
      <c r="K34" s="81">
        <v>768416.41687299998</v>
      </c>
      <c r="L34" s="81">
        <v>365421.35604899994</v>
      </c>
      <c r="M34" s="81">
        <v>262723.98414900003</v>
      </c>
      <c r="N34" s="132">
        <f t="shared" si="6"/>
        <v>45997549.546397001</v>
      </c>
      <c r="O34" s="133">
        <v>25</v>
      </c>
      <c r="P34" s="132" t="s">
        <v>38</v>
      </c>
      <c r="Q34" s="132">
        <f t="shared" si="5"/>
        <v>1839901.98185588</v>
      </c>
      <c r="R34" s="138">
        <f t="shared" si="2"/>
        <v>23.271267545239098</v>
      </c>
      <c r="S34" s="139" t="e">
        <f t="shared" si="3"/>
        <v>#VALUE!</v>
      </c>
      <c r="T34" s="140">
        <f t="shared" si="3"/>
        <v>-1.3829859638087199</v>
      </c>
    </row>
    <row r="35" spans="1:20" s="121" customFormat="1" ht="31.5" customHeight="1" x14ac:dyDescent="0.25">
      <c r="A35" s="131" t="s">
        <v>352</v>
      </c>
      <c r="B35" s="154">
        <v>379463</v>
      </c>
      <c r="C35" s="154">
        <v>1766820.59</v>
      </c>
      <c r="D35" s="154">
        <v>403852.6</v>
      </c>
      <c r="E35" s="133">
        <v>355322.21</v>
      </c>
      <c r="F35" s="132">
        <f t="shared" si="1"/>
        <v>2905458.4</v>
      </c>
      <c r="G35" s="134">
        <v>1</v>
      </c>
      <c r="H35" s="135" t="s">
        <v>19</v>
      </c>
      <c r="I35" s="136">
        <f t="shared" si="8"/>
        <v>2905458.4</v>
      </c>
      <c r="J35" s="81">
        <v>2305953.1487499997</v>
      </c>
      <c r="K35" s="81">
        <v>2580700.6718000001</v>
      </c>
      <c r="L35" s="81">
        <v>403023.43757399998</v>
      </c>
      <c r="M35" s="81">
        <v>289754.86955300003</v>
      </c>
      <c r="N35" s="136">
        <f t="shared" si="6"/>
        <v>5579432.1276770001</v>
      </c>
      <c r="O35" s="137">
        <v>5</v>
      </c>
      <c r="P35" s="136" t="s">
        <v>19</v>
      </c>
      <c r="Q35" s="132">
        <f t="shared" si="5"/>
        <v>1115886.4255353999</v>
      </c>
      <c r="R35" s="138">
        <f t="shared" si="2"/>
        <v>92.032765902860632</v>
      </c>
      <c r="S35" s="139" t="e">
        <f t="shared" si="3"/>
        <v>#VALUE!</v>
      </c>
      <c r="T35" s="140">
        <f t="shared" si="3"/>
        <v>-61.593446819427875</v>
      </c>
    </row>
    <row r="36" spans="1:20" s="121" customFormat="1" ht="31.5" customHeight="1" x14ac:dyDescent="0.25">
      <c r="A36" s="131" t="s">
        <v>353</v>
      </c>
      <c r="B36" s="154">
        <v>85292261.129999995</v>
      </c>
      <c r="C36" s="154">
        <v>28860846.18</v>
      </c>
      <c r="D36" s="154">
        <v>4101446.08</v>
      </c>
      <c r="E36" s="133">
        <v>3889217.6</v>
      </c>
      <c r="F36" s="132">
        <f t="shared" si="1"/>
        <v>122143770.98999999</v>
      </c>
      <c r="G36" s="134">
        <v>1</v>
      </c>
      <c r="H36" s="135" t="s">
        <v>56</v>
      </c>
      <c r="I36" s="136">
        <f t="shared" si="8"/>
        <v>122143770.98999999</v>
      </c>
      <c r="J36" s="81">
        <v>95050650.027985007</v>
      </c>
      <c r="K36" s="81">
        <v>52537140.036233999</v>
      </c>
      <c r="L36" s="81">
        <v>1094509.6878240001</v>
      </c>
      <c r="M36" s="81">
        <v>831640.18431799999</v>
      </c>
      <c r="N36" s="136">
        <f t="shared" si="6"/>
        <v>149513939.93636101</v>
      </c>
      <c r="O36" s="137">
        <v>2</v>
      </c>
      <c r="P36" s="136" t="s">
        <v>56</v>
      </c>
      <c r="Q36" s="132">
        <f t="shared" si="5"/>
        <v>74756969.968180507</v>
      </c>
      <c r="R36" s="138">
        <f t="shared" si="2"/>
        <v>22.408157800041916</v>
      </c>
      <c r="S36" s="139" t="e">
        <f t="shared" si="3"/>
        <v>#VALUE!</v>
      </c>
      <c r="T36" s="140">
        <f t="shared" si="3"/>
        <v>-38.79592109997904</v>
      </c>
    </row>
    <row r="37" spans="1:20" s="121" customFormat="1" ht="15.75" customHeight="1" x14ac:dyDescent="0.25">
      <c r="A37" s="131" t="s">
        <v>354</v>
      </c>
      <c r="B37" s="154">
        <v>10764836.439999999</v>
      </c>
      <c r="C37" s="154">
        <v>8107708.8600000003</v>
      </c>
      <c r="D37" s="154">
        <v>723561.72</v>
      </c>
      <c r="E37" s="133">
        <v>686455.94</v>
      </c>
      <c r="F37" s="132">
        <f t="shared" si="1"/>
        <v>20282562.960000001</v>
      </c>
      <c r="G37" s="134">
        <v>17</v>
      </c>
      <c r="H37" s="135" t="s">
        <v>84</v>
      </c>
      <c r="I37" s="136">
        <f t="shared" si="8"/>
        <v>1193091.9388235295</v>
      </c>
      <c r="J37" s="81">
        <v>17459242.150102001</v>
      </c>
      <c r="K37" s="81">
        <v>995223.70916999993</v>
      </c>
      <c r="L37" s="81">
        <v>791462.26412099996</v>
      </c>
      <c r="M37" s="81">
        <v>572272.58211500011</v>
      </c>
      <c r="N37" s="136">
        <f t="shared" si="6"/>
        <v>19818200.705508001</v>
      </c>
      <c r="O37" s="137">
        <v>13</v>
      </c>
      <c r="P37" s="136" t="s">
        <v>84</v>
      </c>
      <c r="Q37" s="132">
        <f t="shared" si="5"/>
        <v>1524476.9773467693</v>
      </c>
      <c r="R37" s="138">
        <f t="shared" si="2"/>
        <v>-2.2894653669153442</v>
      </c>
      <c r="S37" s="139" t="e">
        <f t="shared" si="3"/>
        <v>#VALUE!</v>
      </c>
      <c r="T37" s="140">
        <f t="shared" si="3"/>
        <v>27.775314520187621</v>
      </c>
    </row>
    <row r="38" spans="1:20" s="121" customFormat="1" ht="47.25" x14ac:dyDescent="0.25">
      <c r="A38" s="131" t="s">
        <v>355</v>
      </c>
      <c r="B38" s="154">
        <v>23136409.620000001</v>
      </c>
      <c r="C38" s="154">
        <v>19152593.550000001</v>
      </c>
      <c r="D38" s="154">
        <v>1824418.31</v>
      </c>
      <c r="E38" s="133">
        <v>1165641.8</v>
      </c>
      <c r="F38" s="132">
        <f t="shared" si="1"/>
        <v>45279063.280000001</v>
      </c>
      <c r="G38" s="134">
        <v>22</v>
      </c>
      <c r="H38" s="135" t="s">
        <v>38</v>
      </c>
      <c r="I38" s="136">
        <f t="shared" si="8"/>
        <v>2058139.24</v>
      </c>
      <c r="J38" s="81">
        <v>30965213.355779398</v>
      </c>
      <c r="K38" s="81">
        <v>11203923.609376399</v>
      </c>
      <c r="L38" s="81">
        <v>2114877.8800340998</v>
      </c>
      <c r="M38" s="81">
        <v>1617425.7131255004</v>
      </c>
      <c r="N38" s="136">
        <f t="shared" si="6"/>
        <v>45901440.558315389</v>
      </c>
      <c r="O38" s="137">
        <v>14</v>
      </c>
      <c r="P38" s="136" t="s">
        <v>38</v>
      </c>
      <c r="Q38" s="132">
        <f t="shared" si="5"/>
        <v>3278674.3255939563</v>
      </c>
      <c r="R38" s="138">
        <f t="shared" si="2"/>
        <v>1.3745365589095457</v>
      </c>
      <c r="S38" s="139" t="e">
        <f t="shared" si="3"/>
        <v>#VALUE!</v>
      </c>
      <c r="T38" s="140">
        <f t="shared" si="3"/>
        <v>59.30284316400072</v>
      </c>
    </row>
    <row r="39" spans="1:20" s="121" customFormat="1" ht="31.5" customHeight="1" x14ac:dyDescent="0.25">
      <c r="A39" s="131" t="s">
        <v>356</v>
      </c>
      <c r="B39" s="154">
        <v>12518037.289999999</v>
      </c>
      <c r="C39" s="154">
        <v>472857.84</v>
      </c>
      <c r="D39" s="154">
        <v>701997.46</v>
      </c>
      <c r="E39" s="133">
        <v>231883.66</v>
      </c>
      <c r="F39" s="132">
        <f t="shared" si="1"/>
        <v>13924776.25</v>
      </c>
      <c r="G39" s="134">
        <v>24226</v>
      </c>
      <c r="H39" s="135" t="s">
        <v>49</v>
      </c>
      <c r="I39" s="136">
        <f t="shared" si="8"/>
        <v>574.78643812432927</v>
      </c>
      <c r="J39" s="81">
        <v>12008936.428188998</v>
      </c>
      <c r="K39" s="81">
        <v>1397219.97982</v>
      </c>
      <c r="L39" s="81">
        <v>832106.02312100003</v>
      </c>
      <c r="M39" s="81">
        <v>747278.04697300005</v>
      </c>
      <c r="N39" s="136">
        <f t="shared" si="6"/>
        <v>14985540.478102997</v>
      </c>
      <c r="O39" s="137">
        <v>25666</v>
      </c>
      <c r="P39" s="136" t="s">
        <v>49</v>
      </c>
      <c r="Q39" s="132">
        <f t="shared" si="5"/>
        <v>583.86739180639745</v>
      </c>
      <c r="R39" s="138">
        <f t="shared" si="2"/>
        <v>7.6178188364283193</v>
      </c>
      <c r="S39" s="139" t="e">
        <f t="shared" si="3"/>
        <v>#VALUE!</v>
      </c>
      <c r="T39" s="140">
        <f t="shared" si="3"/>
        <v>1.5798830800012591</v>
      </c>
    </row>
    <row r="40" spans="1:20" s="121" customFormat="1" ht="31.5" customHeight="1" x14ac:dyDescent="0.25">
      <c r="A40" s="131" t="s">
        <v>357</v>
      </c>
      <c r="B40" s="154">
        <v>74627822.879999995</v>
      </c>
      <c r="C40" s="154">
        <v>20431286.350000001</v>
      </c>
      <c r="D40" s="154">
        <v>5200905.8499999996</v>
      </c>
      <c r="E40" s="133">
        <v>2895983.2</v>
      </c>
      <c r="F40" s="132">
        <f t="shared" si="1"/>
        <v>103155998.27999999</v>
      </c>
      <c r="G40" s="134">
        <v>1</v>
      </c>
      <c r="H40" s="135" t="s">
        <v>19</v>
      </c>
      <c r="I40" s="136">
        <f t="shared" si="8"/>
        <v>103155998.27999999</v>
      </c>
      <c r="J40" s="81">
        <v>92625420.298521996</v>
      </c>
      <c r="K40" s="81">
        <v>6226719.3538030004</v>
      </c>
      <c r="L40" s="81">
        <v>2767917.0611719997</v>
      </c>
      <c r="M40" s="81">
        <v>2645756.9267929997</v>
      </c>
      <c r="N40" s="136">
        <f t="shared" si="6"/>
        <v>104265813.64028998</v>
      </c>
      <c r="O40" s="137">
        <v>1</v>
      </c>
      <c r="P40" s="135" t="s">
        <v>19</v>
      </c>
      <c r="Q40" s="132">
        <f t="shared" si="5"/>
        <v>104265813.64028998</v>
      </c>
      <c r="R40" s="138">
        <f t="shared" si="2"/>
        <v>1.0758611993435221</v>
      </c>
      <c r="S40" s="139" t="e">
        <f t="shared" si="3"/>
        <v>#VALUE!</v>
      </c>
      <c r="T40" s="140">
        <f t="shared" si="3"/>
        <v>1.0758611993435221</v>
      </c>
    </row>
    <row r="41" spans="1:20" s="121" customFormat="1" ht="31.5" customHeight="1" x14ac:dyDescent="0.25">
      <c r="A41" s="131" t="s">
        <v>358</v>
      </c>
      <c r="B41" s="154">
        <v>15470406.85</v>
      </c>
      <c r="C41" s="154">
        <v>2624757.64</v>
      </c>
      <c r="D41" s="154">
        <v>1201796.97</v>
      </c>
      <c r="E41" s="133">
        <v>1123518.6499999999</v>
      </c>
      <c r="F41" s="132">
        <f t="shared" si="1"/>
        <v>20420480.109999996</v>
      </c>
      <c r="G41" s="134">
        <v>1</v>
      </c>
      <c r="H41" s="135" t="s">
        <v>19</v>
      </c>
      <c r="I41" s="136">
        <f t="shared" si="8"/>
        <v>20420480.109999996</v>
      </c>
      <c r="J41" s="81">
        <v>11325817.473822003</v>
      </c>
      <c r="K41" s="81">
        <v>2159388.7377200001</v>
      </c>
      <c r="L41" s="81">
        <v>1692688.1905470002</v>
      </c>
      <c r="M41" s="81">
        <v>739752.36301299999</v>
      </c>
      <c r="N41" s="136">
        <f t="shared" si="6"/>
        <v>15917646.765102003</v>
      </c>
      <c r="O41" s="137">
        <v>1</v>
      </c>
      <c r="P41" s="136" t="s">
        <v>19</v>
      </c>
      <c r="Q41" s="132">
        <f t="shared" si="5"/>
        <v>15917646.765102003</v>
      </c>
      <c r="R41" s="138">
        <f t="shared" si="2"/>
        <v>-22.050575307937724</v>
      </c>
      <c r="S41" s="139" t="e">
        <f t="shared" si="3"/>
        <v>#VALUE!</v>
      </c>
      <c r="T41" s="140">
        <f t="shared" si="3"/>
        <v>-22.050575307937724</v>
      </c>
    </row>
    <row r="42" spans="1:20" ht="31.5" customHeight="1" x14ac:dyDescent="0.25">
      <c r="A42" s="113" t="s">
        <v>359</v>
      </c>
      <c r="B42" s="154">
        <v>17161139.98</v>
      </c>
      <c r="C42" s="154">
        <v>3466501.88</v>
      </c>
      <c r="D42" s="154">
        <v>1176889.71</v>
      </c>
      <c r="E42" s="133">
        <v>1210078.19</v>
      </c>
      <c r="F42" s="132">
        <f t="shared" si="1"/>
        <v>23014609.760000002</v>
      </c>
      <c r="G42" s="134">
        <v>1</v>
      </c>
      <c r="H42" s="135" t="s">
        <v>19</v>
      </c>
      <c r="I42" s="132">
        <f t="shared" si="8"/>
        <v>23014609.760000002</v>
      </c>
      <c r="J42" s="81">
        <v>14703505.391639002</v>
      </c>
      <c r="K42" s="81">
        <v>3755201.508711</v>
      </c>
      <c r="L42" s="81">
        <v>982793.21307699999</v>
      </c>
      <c r="M42" s="81">
        <v>1033742.457799</v>
      </c>
      <c r="N42" s="136">
        <f t="shared" si="6"/>
        <v>20475242.571226001</v>
      </c>
      <c r="O42" s="133">
        <v>1</v>
      </c>
      <c r="P42" s="132" t="s">
        <v>19</v>
      </c>
      <c r="Q42" s="132">
        <f t="shared" si="5"/>
        <v>20475242.571226001</v>
      </c>
      <c r="R42" s="138">
        <f t="shared" si="2"/>
        <v>-11.033718213147754</v>
      </c>
      <c r="S42" s="139" t="e">
        <f t="shared" si="3"/>
        <v>#VALUE!</v>
      </c>
      <c r="T42" s="140">
        <f t="shared" si="3"/>
        <v>-11.033718213147754</v>
      </c>
    </row>
    <row r="43" spans="1:20" ht="47.25" x14ac:dyDescent="0.25">
      <c r="A43" s="113" t="s">
        <v>360</v>
      </c>
      <c r="B43" s="154">
        <v>2279538.1</v>
      </c>
      <c r="C43" s="154">
        <v>255400.87</v>
      </c>
      <c r="D43" s="154">
        <v>213955</v>
      </c>
      <c r="E43" s="133">
        <v>157000.66</v>
      </c>
      <c r="F43" s="132">
        <f t="shared" si="1"/>
        <v>2905894.6300000004</v>
      </c>
      <c r="G43" s="134">
        <v>19</v>
      </c>
      <c r="H43" s="135" t="s">
        <v>38</v>
      </c>
      <c r="I43" s="132">
        <f t="shared" si="8"/>
        <v>152941.82263157898</v>
      </c>
      <c r="J43" s="81">
        <v>2869905.9742660001</v>
      </c>
      <c r="K43" s="81">
        <v>1689858.6252680002</v>
      </c>
      <c r="L43" s="81">
        <v>16738.06593599997</v>
      </c>
      <c r="M43" s="81">
        <v>1082142.675697</v>
      </c>
      <c r="N43" s="136">
        <f t="shared" si="6"/>
        <v>5658645.3411670001</v>
      </c>
      <c r="O43" s="133">
        <v>25</v>
      </c>
      <c r="P43" s="132" t="s">
        <v>38</v>
      </c>
      <c r="Q43" s="132">
        <f t="shared" si="5"/>
        <v>226345.81364668001</v>
      </c>
      <c r="R43" s="138">
        <f t="shared" si="2"/>
        <v>94.729887407066769</v>
      </c>
      <c r="S43" s="139" t="e">
        <f t="shared" si="3"/>
        <v>#VALUE!</v>
      </c>
      <c r="T43" s="140">
        <f t="shared" si="3"/>
        <v>47.994714429370731</v>
      </c>
    </row>
    <row r="44" spans="1:20" s="121" customFormat="1" ht="31.5" customHeight="1" x14ac:dyDescent="0.25">
      <c r="A44" s="131" t="s">
        <v>361</v>
      </c>
      <c r="B44" s="154">
        <v>10285902.65</v>
      </c>
      <c r="C44" s="154">
        <v>78267.23</v>
      </c>
      <c r="D44" s="154">
        <v>32779.17</v>
      </c>
      <c r="E44" s="133">
        <v>6637.45</v>
      </c>
      <c r="F44" s="132">
        <f t="shared" si="1"/>
        <v>10403586.5</v>
      </c>
      <c r="G44" s="134">
        <v>1</v>
      </c>
      <c r="H44" s="135" t="s">
        <v>19</v>
      </c>
      <c r="I44" s="136">
        <f t="shared" si="8"/>
        <v>10403586.5</v>
      </c>
      <c r="J44" s="81">
        <v>12158053.739424</v>
      </c>
      <c r="K44" s="81">
        <v>143303.48870400002</v>
      </c>
      <c r="L44" s="81">
        <v>182243.52269499999</v>
      </c>
      <c r="M44" s="81">
        <v>133462.961159</v>
      </c>
      <c r="N44" s="136">
        <f t="shared" si="6"/>
        <v>12617063.711981999</v>
      </c>
      <c r="O44" s="137">
        <v>1</v>
      </c>
      <c r="P44" s="136" t="s">
        <v>19</v>
      </c>
      <c r="Q44" s="132">
        <f t="shared" si="5"/>
        <v>12617063.711981999</v>
      </c>
      <c r="R44" s="138">
        <f t="shared" si="2"/>
        <v>21.276097545610824</v>
      </c>
      <c r="S44" s="139" t="e">
        <f t="shared" si="3"/>
        <v>#VALUE!</v>
      </c>
      <c r="T44" s="140">
        <f t="shared" si="3"/>
        <v>21.276097545610824</v>
      </c>
    </row>
    <row r="45" spans="1:20" ht="31.5" customHeight="1" x14ac:dyDescent="0.25">
      <c r="A45" s="113" t="s">
        <v>362</v>
      </c>
      <c r="B45" s="154">
        <v>9023170.4100000001</v>
      </c>
      <c r="C45" s="154">
        <v>1458997.68</v>
      </c>
      <c r="D45" s="154">
        <v>675976.22</v>
      </c>
      <c r="E45" s="133">
        <v>627062.91</v>
      </c>
      <c r="F45" s="132">
        <f t="shared" si="1"/>
        <v>11785207.220000001</v>
      </c>
      <c r="G45" s="134">
        <v>2</v>
      </c>
      <c r="H45" s="135" t="s">
        <v>56</v>
      </c>
      <c r="I45" s="132">
        <f t="shared" si="8"/>
        <v>5892603.6100000003</v>
      </c>
      <c r="J45" s="81">
        <v>7829139.9801380001</v>
      </c>
      <c r="K45" s="81">
        <v>704346.31420499994</v>
      </c>
      <c r="L45" s="81">
        <v>349849.93884800002</v>
      </c>
      <c r="M45" s="81">
        <v>291134.80682900001</v>
      </c>
      <c r="N45" s="136">
        <f t="shared" si="6"/>
        <v>9174471.0400200002</v>
      </c>
      <c r="O45" s="133">
        <v>5</v>
      </c>
      <c r="P45" s="132" t="s">
        <v>56</v>
      </c>
      <c r="Q45" s="132">
        <f t="shared" si="5"/>
        <v>1834894.2080040001</v>
      </c>
      <c r="R45" s="138">
        <f t="shared" si="2"/>
        <v>-22.152654011458274</v>
      </c>
      <c r="S45" s="139" t="e">
        <f t="shared" si="3"/>
        <v>#VALUE!</v>
      </c>
      <c r="T45" s="140">
        <f t="shared" si="3"/>
        <v>-68.861061604583313</v>
      </c>
    </row>
    <row r="46" spans="1:20" ht="15.75" customHeight="1" x14ac:dyDescent="0.25">
      <c r="A46" s="113" t="s">
        <v>363</v>
      </c>
      <c r="B46" s="154">
        <v>406682.58</v>
      </c>
      <c r="C46" s="154">
        <v>993641.53</v>
      </c>
      <c r="D46" s="154">
        <v>345123.57</v>
      </c>
      <c r="E46" s="133">
        <v>327925.39</v>
      </c>
      <c r="F46" s="132">
        <f t="shared" si="1"/>
        <v>2073373.0700000003</v>
      </c>
      <c r="G46" s="134">
        <v>15</v>
      </c>
      <c r="H46" s="135" t="s">
        <v>84</v>
      </c>
      <c r="I46" s="132">
        <f t="shared" si="8"/>
        <v>138224.87133333334</v>
      </c>
      <c r="J46" s="81">
        <v>1176430.63421</v>
      </c>
      <c r="K46" s="81">
        <v>95692.25186400002</v>
      </c>
      <c r="L46" s="81">
        <v>104388.679388</v>
      </c>
      <c r="M46" s="81">
        <v>86184.276729999998</v>
      </c>
      <c r="N46" s="136">
        <f t="shared" si="6"/>
        <v>1462695.842192</v>
      </c>
      <c r="O46" s="133">
        <v>18</v>
      </c>
      <c r="P46" s="132" t="s">
        <v>84</v>
      </c>
      <c r="Q46" s="132">
        <f t="shared" si="5"/>
        <v>81260.88012177778</v>
      </c>
      <c r="R46" s="138">
        <f t="shared" si="2"/>
        <v>-29.45332109517561</v>
      </c>
      <c r="S46" s="139" t="e">
        <f t="shared" si="3"/>
        <v>#VALUE!</v>
      </c>
      <c r="T46" s="140">
        <f t="shared" si="3"/>
        <v>-41.211100912646337</v>
      </c>
    </row>
    <row r="47" spans="1:20" s="121" customFormat="1" ht="47.25" x14ac:dyDescent="0.25">
      <c r="A47" s="131" t="s">
        <v>364</v>
      </c>
      <c r="B47" s="154">
        <v>23251909.757715762</v>
      </c>
      <c r="C47" s="154">
        <v>31787956.907069571</v>
      </c>
      <c r="D47" s="154">
        <v>2911711.6956588719</v>
      </c>
      <c r="E47" s="133">
        <v>1314839.6707874252</v>
      </c>
      <c r="F47" s="132">
        <f t="shared" si="1"/>
        <v>59266418.031231627</v>
      </c>
      <c r="G47" s="134">
        <v>13</v>
      </c>
      <c r="H47" s="135" t="s">
        <v>38</v>
      </c>
      <c r="I47" s="136">
        <f t="shared" si="8"/>
        <v>4558955.2331716632</v>
      </c>
      <c r="J47" s="81">
        <v>17858368.7775979</v>
      </c>
      <c r="K47" s="81">
        <v>21231144.858456001</v>
      </c>
      <c r="L47" s="81">
        <v>1031065.2291237999</v>
      </c>
      <c r="M47" s="81">
        <v>921570.90881759999</v>
      </c>
      <c r="N47" s="136">
        <f t="shared" si="6"/>
        <v>41042149.773995303</v>
      </c>
      <c r="O47" s="137">
        <v>14</v>
      </c>
      <c r="P47" s="136" t="s">
        <v>38</v>
      </c>
      <c r="Q47" s="132">
        <f t="shared" si="5"/>
        <v>2931582.1267139502</v>
      </c>
      <c r="R47" s="138">
        <f t="shared" si="2"/>
        <v>-30.74973798422014</v>
      </c>
      <c r="S47" s="139" t="e">
        <f t="shared" si="3"/>
        <v>#VALUE!</v>
      </c>
      <c r="T47" s="140">
        <f t="shared" si="3"/>
        <v>-35.696185271061552</v>
      </c>
    </row>
    <row r="48" spans="1:20" ht="31.5" x14ac:dyDescent="0.25">
      <c r="A48" s="113" t="s">
        <v>365</v>
      </c>
      <c r="B48" s="154">
        <v>6279682.1399999997</v>
      </c>
      <c r="C48" s="154">
        <v>160456.14000000001</v>
      </c>
      <c r="D48" s="154">
        <v>107810.96</v>
      </c>
      <c r="E48" s="133">
        <v>76047.179999999993</v>
      </c>
      <c r="F48" s="132">
        <f t="shared" si="1"/>
        <v>6623996.419999999</v>
      </c>
      <c r="G48" s="134">
        <v>415061</v>
      </c>
      <c r="H48" s="135" t="s">
        <v>49</v>
      </c>
      <c r="I48" s="132">
        <f t="shared" si="8"/>
        <v>15.959091362474428</v>
      </c>
      <c r="J48" s="81">
        <v>10816616.939622</v>
      </c>
      <c r="K48" s="81">
        <v>2170286.0905829999</v>
      </c>
      <c r="L48" s="81">
        <v>633686.25731599983</v>
      </c>
      <c r="M48" s="81">
        <v>682717.84657699999</v>
      </c>
      <c r="N48" s="136">
        <f t="shared" si="6"/>
        <v>14303307.134098001</v>
      </c>
      <c r="O48" s="133">
        <v>703181</v>
      </c>
      <c r="P48" s="132" t="s">
        <v>49</v>
      </c>
      <c r="Q48" s="132">
        <f t="shared" si="5"/>
        <v>20.340861220792373</v>
      </c>
      <c r="R48" s="138">
        <f t="shared" si="2"/>
        <v>115.93168575562127</v>
      </c>
      <c r="S48" s="139" t="e">
        <f t="shared" si="3"/>
        <v>#VALUE!</v>
      </c>
      <c r="T48" s="140">
        <f t="shared" si="3"/>
        <v>27.456261505094609</v>
      </c>
    </row>
    <row r="49" spans="1:20" s="121" customFormat="1" ht="47.25" x14ac:dyDescent="0.25">
      <c r="A49" s="131" t="s">
        <v>366</v>
      </c>
      <c r="B49" s="154">
        <v>25283224.899999999</v>
      </c>
      <c r="C49" s="154">
        <v>29333895.539999999</v>
      </c>
      <c r="D49" s="154">
        <v>1873632.81</v>
      </c>
      <c r="E49" s="133">
        <v>1296527.51</v>
      </c>
      <c r="F49" s="132">
        <f t="shared" si="1"/>
        <v>57787280.759999998</v>
      </c>
      <c r="G49" s="134">
        <v>415061</v>
      </c>
      <c r="H49" s="135" t="s">
        <v>49</v>
      </c>
      <c r="I49" s="136">
        <f t="shared" si="8"/>
        <v>139.22599511878977</v>
      </c>
      <c r="J49" s="81">
        <v>26396166.265540998</v>
      </c>
      <c r="K49" s="81">
        <v>31443582.953597002</v>
      </c>
      <c r="L49" s="81">
        <v>2708120.0023640003</v>
      </c>
      <c r="M49" s="81">
        <v>1922980.225324</v>
      </c>
      <c r="N49" s="136">
        <f t="shared" si="6"/>
        <v>62470849.446825996</v>
      </c>
      <c r="O49" s="137">
        <v>703181</v>
      </c>
      <c r="P49" s="136" t="s">
        <v>49</v>
      </c>
      <c r="Q49" s="132">
        <f t="shared" si="5"/>
        <v>88.840354683681724</v>
      </c>
      <c r="R49" s="138">
        <f t="shared" si="2"/>
        <v>8.1048435317066101</v>
      </c>
      <c r="S49" s="139" t="e">
        <f t="shared" si="3"/>
        <v>#VALUE!</v>
      </c>
      <c r="T49" s="140">
        <f t="shared" si="3"/>
        <v>-36.189822448112679</v>
      </c>
    </row>
    <row r="50" spans="1:20" s="121" customFormat="1" ht="47.25" x14ac:dyDescent="0.25">
      <c r="A50" s="131" t="s">
        <v>367</v>
      </c>
      <c r="B50" s="154">
        <v>16734150.380000001</v>
      </c>
      <c r="C50" s="154">
        <v>6464201.3499999996</v>
      </c>
      <c r="D50" s="154">
        <v>1344603.66</v>
      </c>
      <c r="E50" s="133">
        <v>1134250.8600000001</v>
      </c>
      <c r="F50" s="132">
        <f t="shared" si="1"/>
        <v>25677206.25</v>
      </c>
      <c r="G50" s="134">
        <v>19</v>
      </c>
      <c r="H50" s="135" t="s">
        <v>19</v>
      </c>
      <c r="I50" s="136">
        <f t="shared" si="8"/>
        <v>1351431.9078947369</v>
      </c>
      <c r="J50" s="81">
        <v>24886357.086201001</v>
      </c>
      <c r="K50" s="81">
        <v>308979.04319100006</v>
      </c>
      <c r="L50" s="81">
        <v>369393.20830199996</v>
      </c>
      <c r="M50" s="81">
        <v>281935.74910200003</v>
      </c>
      <c r="N50" s="136">
        <f t="shared" si="6"/>
        <v>25846665.086796001</v>
      </c>
      <c r="O50" s="137">
        <v>20</v>
      </c>
      <c r="P50" s="136" t="s">
        <v>19</v>
      </c>
      <c r="Q50" s="132">
        <f t="shared" si="5"/>
        <v>1292333.2543398</v>
      </c>
      <c r="R50" s="138">
        <f t="shared" si="2"/>
        <v>0.65995823356367123</v>
      </c>
      <c r="S50" s="139" t="e">
        <f t="shared" si="3"/>
        <v>#VALUE!</v>
      </c>
      <c r="T50" s="140">
        <f t="shared" si="3"/>
        <v>-4.3730396781145169</v>
      </c>
    </row>
    <row r="51" spans="1:20" ht="47.25" x14ac:dyDescent="0.25">
      <c r="A51" s="113" t="s">
        <v>368</v>
      </c>
      <c r="B51" s="154">
        <v>11264329.380000001</v>
      </c>
      <c r="C51" s="154">
        <v>961338.05</v>
      </c>
      <c r="D51" s="154">
        <v>1036503.44</v>
      </c>
      <c r="E51" s="133">
        <v>682732.97</v>
      </c>
      <c r="F51" s="132">
        <f t="shared" si="1"/>
        <v>13944903.840000002</v>
      </c>
      <c r="G51" s="134">
        <v>77</v>
      </c>
      <c r="H51" s="135" t="s">
        <v>38</v>
      </c>
      <c r="I51" s="132">
        <f t="shared" si="8"/>
        <v>181102.64727272731</v>
      </c>
      <c r="J51" s="81">
        <v>16204699.940678997</v>
      </c>
      <c r="K51" s="81">
        <v>5543198.3603979982</v>
      </c>
      <c r="L51" s="81">
        <v>1107892.9179479999</v>
      </c>
      <c r="M51" s="81">
        <v>375313.69485700002</v>
      </c>
      <c r="N51" s="136">
        <f t="shared" si="6"/>
        <v>23231104.913881995</v>
      </c>
      <c r="O51" s="133">
        <v>77</v>
      </c>
      <c r="P51" s="132" t="s">
        <v>38</v>
      </c>
      <c r="Q51" s="132">
        <f t="shared" si="5"/>
        <v>301702.66121924669</v>
      </c>
      <c r="R51" s="138">
        <f>(N51-F51)/F51*100</f>
        <v>66.592076793281009</v>
      </c>
      <c r="S51" s="139" t="e">
        <f>(P51-H51)/H51*100</f>
        <v>#VALUE!</v>
      </c>
      <c r="T51" s="140">
        <f>(Q51-I51)/I51*100</f>
        <v>66.592076793280995</v>
      </c>
    </row>
    <row r="52" spans="1:20" ht="47.25" x14ac:dyDescent="0.25">
      <c r="A52" s="113" t="s">
        <v>369</v>
      </c>
      <c r="B52" s="154">
        <v>1153091.6599999999</v>
      </c>
      <c r="C52" s="154">
        <v>328760.89</v>
      </c>
      <c r="D52" s="154">
        <v>91534.84</v>
      </c>
      <c r="E52" s="133">
        <v>65008.46</v>
      </c>
      <c r="F52" s="132">
        <f t="shared" si="1"/>
        <v>1638395.8499999999</v>
      </c>
      <c r="G52" s="134">
        <v>415061</v>
      </c>
      <c r="H52" s="135" t="s">
        <v>49</v>
      </c>
      <c r="I52" s="132">
        <f t="shared" si="8"/>
        <v>3.9473615926333716</v>
      </c>
      <c r="J52" s="81">
        <v>1766269.2317670006</v>
      </c>
      <c r="K52" s="81">
        <v>685406.99907500017</v>
      </c>
      <c r="L52" s="81">
        <v>229070.39281100011</v>
      </c>
      <c r="M52" s="81">
        <v>27440.789028999978</v>
      </c>
      <c r="N52" s="136">
        <f>SUM(J52:M52)</f>
        <v>2708187.412682001</v>
      </c>
      <c r="O52" s="133">
        <v>422000</v>
      </c>
      <c r="P52" s="132" t="s">
        <v>49</v>
      </c>
      <c r="Q52" s="132">
        <f t="shared" si="5"/>
        <v>6.4175057172559269</v>
      </c>
      <c r="R52" s="138">
        <f>(N52-F52)/F52*100</f>
        <v>65.295060572937928</v>
      </c>
      <c r="S52" s="139" t="e">
        <f>(P52-H52)/H52*100</f>
        <v>#VALUE!</v>
      </c>
      <c r="T52" s="140">
        <f>(Q52-I52)/I52*100</f>
        <v>62.577092740436477</v>
      </c>
    </row>
    <row r="53" spans="1:20" ht="31.5" customHeight="1" x14ac:dyDescent="0.25">
      <c r="A53" s="113" t="s">
        <v>370</v>
      </c>
      <c r="B53" s="154">
        <v>759506.6</v>
      </c>
      <c r="C53" s="154">
        <v>301928.88</v>
      </c>
      <c r="D53" s="154">
        <v>64014.15</v>
      </c>
      <c r="E53" s="133">
        <v>41741.71</v>
      </c>
      <c r="F53" s="132">
        <f t="shared" si="1"/>
        <v>1167191.3399999999</v>
      </c>
      <c r="G53" s="134">
        <v>19</v>
      </c>
      <c r="H53" s="135" t="s">
        <v>19</v>
      </c>
      <c r="I53" s="132">
        <f t="shared" si="8"/>
        <v>61431.123157894726</v>
      </c>
      <c r="J53" s="81">
        <v>905452.16390799917</v>
      </c>
      <c r="K53" s="81">
        <v>988893.51129299996</v>
      </c>
      <c r="L53" s="81">
        <v>850198.33661499992</v>
      </c>
      <c r="M53" s="81">
        <v>604897.21373600001</v>
      </c>
      <c r="N53" s="136">
        <f t="shared" si="6"/>
        <v>3349441.2255519992</v>
      </c>
      <c r="O53" s="133">
        <v>46</v>
      </c>
      <c r="P53" s="132" t="s">
        <v>19</v>
      </c>
      <c r="Q53" s="132">
        <f t="shared" si="5"/>
        <v>72813.939685913021</v>
      </c>
      <c r="R53" s="138">
        <f t="shared" si="2"/>
        <v>186.96590788207868</v>
      </c>
      <c r="S53" s="139" t="e">
        <f t="shared" si="3"/>
        <v>#VALUE!</v>
      </c>
      <c r="T53" s="140">
        <f t="shared" si="3"/>
        <v>18.529396733902058</v>
      </c>
    </row>
    <row r="54" spans="1:20" ht="31.5" customHeight="1" x14ac:dyDescent="0.25">
      <c r="A54" s="113" t="s">
        <v>371</v>
      </c>
      <c r="B54" s="154">
        <v>6514501.21</v>
      </c>
      <c r="C54" s="154">
        <v>1762008.81</v>
      </c>
      <c r="D54" s="154">
        <v>494008.71</v>
      </c>
      <c r="E54" s="133">
        <v>414512.91</v>
      </c>
      <c r="F54" s="132">
        <f t="shared" si="1"/>
        <v>9185031.6400000006</v>
      </c>
      <c r="G54" s="134">
        <v>12</v>
      </c>
      <c r="H54" s="135" t="s">
        <v>56</v>
      </c>
      <c r="I54" s="132">
        <f t="shared" si="8"/>
        <v>765419.30333333334</v>
      </c>
      <c r="J54" s="81">
        <v>4470599.3125820002</v>
      </c>
      <c r="K54" s="81">
        <v>912652.1906819999</v>
      </c>
      <c r="L54" s="81">
        <v>400363.15342500003</v>
      </c>
      <c r="M54" s="81">
        <v>270932.02499100001</v>
      </c>
      <c r="N54" s="136">
        <f t="shared" si="6"/>
        <v>6054546.6816799995</v>
      </c>
      <c r="O54" s="133">
        <v>5</v>
      </c>
      <c r="P54" s="132" t="s">
        <v>56</v>
      </c>
      <c r="Q54" s="132">
        <f t="shared" si="5"/>
        <v>1210909.3363359999</v>
      </c>
      <c r="R54" s="138">
        <f t="shared" si="2"/>
        <v>-34.082462434718423</v>
      </c>
      <c r="S54" s="139" t="e">
        <f t="shared" si="3"/>
        <v>#VALUE!</v>
      </c>
      <c r="T54" s="140">
        <f t="shared" si="3"/>
        <v>58.202090156675808</v>
      </c>
    </row>
    <row r="55" spans="1:20" ht="15.75" customHeight="1" x14ac:dyDescent="0.25">
      <c r="A55" s="113" t="s">
        <v>372</v>
      </c>
      <c r="B55" s="154">
        <v>3353615.26</v>
      </c>
      <c r="C55" s="154">
        <v>6399502.5700000003</v>
      </c>
      <c r="D55" s="154">
        <v>258713.46</v>
      </c>
      <c r="E55" s="133">
        <v>122741.96</v>
      </c>
      <c r="F55" s="132">
        <f t="shared" si="1"/>
        <v>10134573.250000002</v>
      </c>
      <c r="G55" s="134">
        <v>66</v>
      </c>
      <c r="H55" s="135" t="s">
        <v>84</v>
      </c>
      <c r="I55" s="132">
        <f t="shared" si="8"/>
        <v>153554.14015151517</v>
      </c>
      <c r="J55" s="186">
        <v>1730397.008684</v>
      </c>
      <c r="K55" s="186">
        <v>353795.61224599998</v>
      </c>
      <c r="L55" s="186">
        <v>154438.403593</v>
      </c>
      <c r="M55" s="186">
        <v>132052.10848300002</v>
      </c>
      <c r="N55" s="186">
        <v>2370683.133006</v>
      </c>
      <c r="O55" s="133">
        <v>77</v>
      </c>
      <c r="P55" s="132" t="s">
        <v>84</v>
      </c>
      <c r="Q55" s="132">
        <f t="shared" si="5"/>
        <v>30788.092636441557</v>
      </c>
      <c r="R55" s="138">
        <f t="shared" si="2"/>
        <v>-76.607962915399526</v>
      </c>
      <c r="S55" s="139" t="e">
        <f t="shared" si="3"/>
        <v>#VALUE!</v>
      </c>
      <c r="T55" s="140">
        <f t="shared" si="3"/>
        <v>-79.949682498913887</v>
      </c>
    </row>
    <row r="56" spans="1:20" s="121" customFormat="1" ht="63" x14ac:dyDescent="0.25">
      <c r="A56" s="131" t="s">
        <v>373</v>
      </c>
      <c r="B56" s="154">
        <v>12260419.529999999</v>
      </c>
      <c r="C56" s="154">
        <v>10054957.99</v>
      </c>
      <c r="D56" s="154">
        <v>1056099.6200000001</v>
      </c>
      <c r="E56" s="133">
        <v>667786.06999999995</v>
      </c>
      <c r="F56" s="132">
        <f t="shared" si="1"/>
        <v>24039263.210000001</v>
      </c>
      <c r="G56" s="134">
        <v>14</v>
      </c>
      <c r="H56" s="135" t="s">
        <v>38</v>
      </c>
      <c r="I56" s="136">
        <f t="shared" si="8"/>
        <v>1717090.2292857144</v>
      </c>
      <c r="J56" s="81">
        <v>10718435.076955</v>
      </c>
      <c r="K56" s="81">
        <v>12964728.188737001</v>
      </c>
      <c r="L56" s="81">
        <v>815277.70701900008</v>
      </c>
      <c r="M56" s="81">
        <v>375544.62531799998</v>
      </c>
      <c r="N56" s="136">
        <f t="shared" si="6"/>
        <v>24873985.598029003</v>
      </c>
      <c r="O56" s="137">
        <v>14</v>
      </c>
      <c r="P56" s="136" t="s">
        <v>38</v>
      </c>
      <c r="Q56" s="132">
        <f t="shared" si="5"/>
        <v>1776713.2570020717</v>
      </c>
      <c r="R56" s="138">
        <f t="shared" si="2"/>
        <v>3.4723293336285308</v>
      </c>
      <c r="S56" s="139" t="e">
        <f t="shared" si="3"/>
        <v>#VALUE!</v>
      </c>
      <c r="T56" s="140">
        <f t="shared" si="3"/>
        <v>3.4723293336285308</v>
      </c>
    </row>
    <row r="57" spans="1:20" s="121" customFormat="1" ht="63" x14ac:dyDescent="0.25">
      <c r="A57" s="131" t="s">
        <v>374</v>
      </c>
      <c r="B57" s="132">
        <v>47230898.850000001</v>
      </c>
      <c r="C57" s="132">
        <v>7640367.71</v>
      </c>
      <c r="D57" s="132">
        <v>4501935.2</v>
      </c>
      <c r="E57" s="133">
        <v>4001752.73</v>
      </c>
      <c r="F57" s="132">
        <f t="shared" si="1"/>
        <v>63374954.490000002</v>
      </c>
      <c r="G57" s="134">
        <v>51</v>
      </c>
      <c r="H57" s="135" t="s">
        <v>144</v>
      </c>
      <c r="I57" s="136">
        <f t="shared" si="8"/>
        <v>1242646.1664705882</v>
      </c>
      <c r="J57" s="81">
        <v>62477780.214318998</v>
      </c>
      <c r="K57" s="81">
        <v>4274154.3410220006</v>
      </c>
      <c r="L57" s="81">
        <v>3164909.2459959988</v>
      </c>
      <c r="M57" s="81">
        <v>2366480.8695619996</v>
      </c>
      <c r="N57" s="136">
        <f t="shared" si="6"/>
        <v>72283324.670899004</v>
      </c>
      <c r="O57" s="137">
        <v>40</v>
      </c>
      <c r="P57" s="136" t="s">
        <v>144</v>
      </c>
      <c r="Q57" s="132">
        <f t="shared" si="5"/>
        <v>1807083.1167724752</v>
      </c>
      <c r="R57" s="138">
        <f t="shared" si="2"/>
        <v>14.056609985108018</v>
      </c>
      <c r="S57" s="139" t="e">
        <f t="shared" si="3"/>
        <v>#VALUE!</v>
      </c>
      <c r="T57" s="140">
        <f t="shared" si="3"/>
        <v>45.422177731012745</v>
      </c>
    </row>
    <row r="58" spans="1:20" s="121" customFormat="1" ht="63" x14ac:dyDescent="0.25">
      <c r="A58" s="141" t="s">
        <v>375</v>
      </c>
      <c r="B58" s="132">
        <v>30326056.350000001</v>
      </c>
      <c r="C58" s="132">
        <v>480271.2</v>
      </c>
      <c r="D58" s="132">
        <v>551433.06999999995</v>
      </c>
      <c r="E58" s="133">
        <v>925319.07</v>
      </c>
      <c r="F58" s="132">
        <f t="shared" si="1"/>
        <v>32283079.690000001</v>
      </c>
      <c r="G58" s="134">
        <v>21</v>
      </c>
      <c r="H58" s="135" t="s">
        <v>146</v>
      </c>
      <c r="I58" s="136">
        <f t="shared" si="8"/>
        <v>1537289.5090476191</v>
      </c>
      <c r="J58" s="81">
        <v>9826741.0803139992</v>
      </c>
      <c r="K58" s="81">
        <v>514389.768454</v>
      </c>
      <c r="L58" s="81">
        <v>552337.37768200005</v>
      </c>
      <c r="M58" s="81">
        <v>1754810.9483089999</v>
      </c>
      <c r="N58" s="136">
        <f t="shared" si="6"/>
        <v>12648279.174759001</v>
      </c>
      <c r="O58" s="137">
        <v>10</v>
      </c>
      <c r="P58" s="136" t="s">
        <v>146</v>
      </c>
      <c r="Q58" s="132">
        <f t="shared" si="5"/>
        <v>1264827.9174759001</v>
      </c>
      <c r="R58" s="138">
        <f t="shared" si="2"/>
        <v>-60.820716932167628</v>
      </c>
      <c r="S58" s="139" t="e">
        <f t="shared" si="3"/>
        <v>#VALUE!</v>
      </c>
      <c r="T58" s="140">
        <f t="shared" si="3"/>
        <v>-17.72350555755202</v>
      </c>
    </row>
    <row r="59" spans="1:20" s="121" customFormat="1" ht="31.5" x14ac:dyDescent="0.25">
      <c r="A59" s="141" t="s">
        <v>376</v>
      </c>
      <c r="B59" s="132">
        <v>10907194.57</v>
      </c>
      <c r="C59" s="132">
        <v>868042.65</v>
      </c>
      <c r="D59" s="132">
        <v>803882.19</v>
      </c>
      <c r="E59" s="133">
        <v>619597.5</v>
      </c>
      <c r="F59" s="132">
        <f t="shared" si="1"/>
        <v>13198716.91</v>
      </c>
      <c r="G59" s="134">
        <v>1</v>
      </c>
      <c r="H59" s="135" t="s">
        <v>19</v>
      </c>
      <c r="I59" s="136">
        <f t="shared" si="8"/>
        <v>13198716.91</v>
      </c>
      <c r="J59" s="81">
        <v>10840788.410467001</v>
      </c>
      <c r="K59" s="81">
        <v>1199228.8491410001</v>
      </c>
      <c r="L59" s="81">
        <v>719281.08481700008</v>
      </c>
      <c r="M59" s="81">
        <v>530063.06302100001</v>
      </c>
      <c r="N59" s="136">
        <f t="shared" si="6"/>
        <v>13289361.407446001</v>
      </c>
      <c r="O59" s="137">
        <v>3</v>
      </c>
      <c r="P59" s="136" t="s">
        <v>19</v>
      </c>
      <c r="Q59" s="132">
        <f t="shared" si="5"/>
        <v>4429787.1358153336</v>
      </c>
      <c r="R59" s="138">
        <f t="shared" si="2"/>
        <v>0.68676749462914699</v>
      </c>
      <c r="S59" s="139" t="e">
        <f t="shared" si="3"/>
        <v>#VALUE!</v>
      </c>
      <c r="T59" s="140">
        <f t="shared" si="3"/>
        <v>-66.437744168456945</v>
      </c>
    </row>
    <row r="60" spans="1:20" ht="31.5" customHeight="1" x14ac:dyDescent="0.25">
      <c r="A60" s="142" t="s">
        <v>377</v>
      </c>
      <c r="B60" s="132">
        <v>1844373.5699999998</v>
      </c>
      <c r="C60" s="132">
        <v>132940.94</v>
      </c>
      <c r="D60" s="132">
        <v>93370.14</v>
      </c>
      <c r="E60" s="133">
        <v>49147.1</v>
      </c>
      <c r="F60" s="132">
        <f t="shared" si="1"/>
        <v>2119831.7499999995</v>
      </c>
      <c r="G60" s="134">
        <v>2</v>
      </c>
      <c r="H60" s="135" t="s">
        <v>144</v>
      </c>
      <c r="I60" s="132">
        <f t="shared" si="8"/>
        <v>1059915.8749999998</v>
      </c>
      <c r="J60" s="81">
        <v>4905074.916003</v>
      </c>
      <c r="K60" s="81">
        <v>825548.16109800001</v>
      </c>
      <c r="L60" s="81">
        <v>349910.39170900005</v>
      </c>
      <c r="M60" s="81">
        <v>372340.56745999999</v>
      </c>
      <c r="N60" s="168">
        <f>SUM(J60:M60)</f>
        <v>6452874.0362699991</v>
      </c>
      <c r="O60" s="155">
        <v>5</v>
      </c>
      <c r="P60" s="135" t="s">
        <v>144</v>
      </c>
      <c r="Q60" s="132">
        <f t="shared" si="5"/>
        <v>1290574.8072539999</v>
      </c>
      <c r="R60" s="138">
        <f t="shared" si="2"/>
        <v>204.40500932538637</v>
      </c>
      <c r="S60" s="139" t="e">
        <f t="shared" si="3"/>
        <v>#VALUE!</v>
      </c>
      <c r="T60" s="140">
        <f t="shared" si="3"/>
        <v>21.762003730154543</v>
      </c>
    </row>
    <row r="61" spans="1:20" s="121" customFormat="1" ht="31.5" customHeight="1" x14ac:dyDescent="0.25">
      <c r="A61" s="141" t="s">
        <v>378</v>
      </c>
      <c r="B61" s="132">
        <v>16049804.52</v>
      </c>
      <c r="C61" s="132">
        <v>622639.67000000004</v>
      </c>
      <c r="D61" s="132">
        <v>597890.53</v>
      </c>
      <c r="E61" s="133">
        <v>586231.84</v>
      </c>
      <c r="F61" s="132">
        <f t="shared" si="1"/>
        <v>17856566.559999999</v>
      </c>
      <c r="G61" s="134">
        <v>13</v>
      </c>
      <c r="H61" s="135" t="s">
        <v>144</v>
      </c>
      <c r="I61" s="136">
        <f t="shared" si="8"/>
        <v>1373582.0430769229</v>
      </c>
      <c r="J61" s="81">
        <v>15300618.852655999</v>
      </c>
      <c r="K61" s="81">
        <v>3605958.99975</v>
      </c>
      <c r="L61" s="81">
        <v>592855.66815000004</v>
      </c>
      <c r="M61" s="81">
        <v>435227.50821</v>
      </c>
      <c r="N61" s="136">
        <f t="shared" si="6"/>
        <v>19934661.028765999</v>
      </c>
      <c r="O61" s="137">
        <v>17</v>
      </c>
      <c r="P61" s="136" t="s">
        <v>144</v>
      </c>
      <c r="Q61" s="132">
        <f t="shared" si="5"/>
        <v>1172627.1193391765</v>
      </c>
      <c r="R61" s="138">
        <f t="shared" si="2"/>
        <v>11.63770460454073</v>
      </c>
      <c r="S61" s="139" t="e">
        <f t="shared" si="3"/>
        <v>#VALUE!</v>
      </c>
      <c r="T61" s="140">
        <f t="shared" si="3"/>
        <v>-14.629990596527668</v>
      </c>
    </row>
    <row r="62" spans="1:20" s="121" customFormat="1" ht="31.5" customHeight="1" x14ac:dyDescent="0.25">
      <c r="A62" s="141" t="s">
        <v>379</v>
      </c>
      <c r="B62" s="132">
        <v>207181.57</v>
      </c>
      <c r="C62" s="132">
        <v>75418.880000000005</v>
      </c>
      <c r="D62" s="132">
        <v>25374.98</v>
      </c>
      <c r="E62" s="133">
        <v>2378.5</v>
      </c>
      <c r="F62" s="132">
        <f t="shared" si="1"/>
        <v>310353.93</v>
      </c>
      <c r="G62" s="134">
        <v>5</v>
      </c>
      <c r="H62" s="135" t="s">
        <v>144</v>
      </c>
      <c r="I62" s="136">
        <f t="shared" si="8"/>
        <v>62070.786</v>
      </c>
      <c r="J62" s="81">
        <v>429676.73846000002</v>
      </c>
      <c r="K62" s="81">
        <v>34930.640208999997</v>
      </c>
      <c r="L62" s="81">
        <v>72658.145898000002</v>
      </c>
      <c r="M62" s="81">
        <v>36305.806705000003</v>
      </c>
      <c r="N62" s="136">
        <f>SUM(J62:M62)</f>
        <v>573571.33127199998</v>
      </c>
      <c r="O62" s="133">
        <v>6</v>
      </c>
      <c r="P62" s="132" t="s">
        <v>144</v>
      </c>
      <c r="Q62" s="132">
        <f t="shared" si="5"/>
        <v>95595.221878666664</v>
      </c>
      <c r="R62" s="138">
        <f t="shared" si="2"/>
        <v>84.812008429214984</v>
      </c>
      <c r="S62" s="139" t="e">
        <f t="shared" si="3"/>
        <v>#VALUE!</v>
      </c>
      <c r="T62" s="140">
        <f t="shared" si="3"/>
        <v>54.010007024345818</v>
      </c>
    </row>
    <row r="63" spans="1:20" ht="47.25" x14ac:dyDescent="0.25">
      <c r="A63" s="113" t="s">
        <v>380</v>
      </c>
      <c r="B63" s="132">
        <v>1948283.41</v>
      </c>
      <c r="C63" s="132">
        <v>87186.67</v>
      </c>
      <c r="D63" s="132">
        <v>81219.66</v>
      </c>
      <c r="E63" s="133">
        <v>8627.82</v>
      </c>
      <c r="F63" s="132">
        <f t="shared" si="1"/>
        <v>2125317.5599999996</v>
      </c>
      <c r="G63" s="134">
        <v>5</v>
      </c>
      <c r="H63" s="135" t="s">
        <v>153</v>
      </c>
      <c r="I63" s="132">
        <f t="shared" si="8"/>
        <v>425063.51199999993</v>
      </c>
      <c r="J63" s="81">
        <v>2124930.58806</v>
      </c>
      <c r="K63" s="81">
        <v>266167.35959999997</v>
      </c>
      <c r="L63" s="81">
        <v>105984.192362</v>
      </c>
      <c r="M63" s="81">
        <v>34072.991371999997</v>
      </c>
      <c r="N63" s="136">
        <f t="shared" si="6"/>
        <v>2531155.1313940003</v>
      </c>
      <c r="O63" s="133">
        <v>9</v>
      </c>
      <c r="P63" s="132" t="s">
        <v>153</v>
      </c>
      <c r="Q63" s="132">
        <f t="shared" si="5"/>
        <v>281239.45904377778</v>
      </c>
      <c r="R63" s="138">
        <f t="shared" si="2"/>
        <v>19.095385039495028</v>
      </c>
      <c r="S63" s="139" t="e">
        <f t="shared" si="3"/>
        <v>#VALUE!</v>
      </c>
      <c r="T63" s="140">
        <f t="shared" si="3"/>
        <v>-33.835897200280549</v>
      </c>
    </row>
    <row r="64" spans="1:20" s="121" customFormat="1" ht="15.75" customHeight="1" x14ac:dyDescent="0.25">
      <c r="A64" s="141" t="s">
        <v>381</v>
      </c>
      <c r="B64" s="132">
        <v>2618423.1800000002</v>
      </c>
      <c r="C64" s="132">
        <v>123282.28</v>
      </c>
      <c r="D64" s="132">
        <v>106422.21</v>
      </c>
      <c r="E64" s="133">
        <v>51719.62</v>
      </c>
      <c r="F64" s="132">
        <f t="shared" si="1"/>
        <v>2899847.29</v>
      </c>
      <c r="G64" s="134">
        <v>19</v>
      </c>
      <c r="H64" s="135" t="s">
        <v>73</v>
      </c>
      <c r="I64" s="136">
        <f t="shared" si="8"/>
        <v>152623.54157894736</v>
      </c>
      <c r="J64" s="81">
        <v>2808830.175572</v>
      </c>
      <c r="K64" s="81">
        <v>348605.77033200004</v>
      </c>
      <c r="L64" s="81">
        <v>151303.87042200001</v>
      </c>
      <c r="M64" s="81">
        <v>77237.702775999991</v>
      </c>
      <c r="N64" s="136">
        <f t="shared" si="6"/>
        <v>3385977.5191020002</v>
      </c>
      <c r="O64" s="145">
        <v>22</v>
      </c>
      <c r="P64" s="156" t="s">
        <v>73</v>
      </c>
      <c r="Q64" s="132">
        <f t="shared" si="5"/>
        <v>153908.06905009091</v>
      </c>
      <c r="R64" s="138">
        <f t="shared" si="2"/>
        <v>16.76399411715229</v>
      </c>
      <c r="S64" s="139" t="e">
        <f t="shared" si="3"/>
        <v>#VALUE!</v>
      </c>
      <c r="T64" s="140">
        <f t="shared" si="3"/>
        <v>0.84163128299516166</v>
      </c>
    </row>
    <row r="65" spans="1:20" s="121" customFormat="1" ht="31.5" customHeight="1" x14ac:dyDescent="0.25">
      <c r="A65" s="141" t="s">
        <v>382</v>
      </c>
      <c r="B65" s="132">
        <v>16818586.260000002</v>
      </c>
      <c r="C65" s="132">
        <v>4395514.21</v>
      </c>
      <c r="D65" s="132">
        <v>1095965.21</v>
      </c>
      <c r="E65" s="133">
        <v>992285.43</v>
      </c>
      <c r="F65" s="132">
        <f t="shared" si="1"/>
        <v>23302351.110000003</v>
      </c>
      <c r="G65" s="134">
        <v>22</v>
      </c>
      <c r="H65" s="135" t="s">
        <v>73</v>
      </c>
      <c r="I65" s="136">
        <f t="shared" si="8"/>
        <v>1059197.7777272728</v>
      </c>
      <c r="J65" s="81">
        <v>16567970.690123001</v>
      </c>
      <c r="K65" s="81">
        <v>4995990.2065589996</v>
      </c>
      <c r="L65" s="81">
        <v>1027419.641309</v>
      </c>
      <c r="M65" s="81">
        <v>925877.44087499985</v>
      </c>
      <c r="N65" s="136">
        <f t="shared" si="6"/>
        <v>23517257.978866003</v>
      </c>
      <c r="O65" s="145">
        <v>25</v>
      </c>
      <c r="P65" s="156" t="s">
        <v>73</v>
      </c>
      <c r="Q65" s="132">
        <f t="shared" si="5"/>
        <v>940690.31915464019</v>
      </c>
      <c r="R65" s="138">
        <f t="shared" si="2"/>
        <v>0.92225401570648757</v>
      </c>
      <c r="S65" s="139" t="e">
        <f t="shared" si="3"/>
        <v>#VALUE!</v>
      </c>
      <c r="T65" s="140">
        <f t="shared" si="3"/>
        <v>-11.188416466178282</v>
      </c>
    </row>
    <row r="66" spans="1:20" s="121" customFormat="1" ht="47.25" x14ac:dyDescent="0.25">
      <c r="A66" s="131" t="s">
        <v>383</v>
      </c>
      <c r="B66" s="132">
        <v>63723371.460000001</v>
      </c>
      <c r="C66" s="132">
        <v>3503829.31</v>
      </c>
      <c r="D66" s="132">
        <v>2027932.35</v>
      </c>
      <c r="E66" s="133">
        <v>832951.34</v>
      </c>
      <c r="F66" s="132">
        <f>SUM(B66:E66)</f>
        <v>70088084.459999993</v>
      </c>
      <c r="G66" s="134">
        <v>30100</v>
      </c>
      <c r="H66" s="135" t="s">
        <v>144</v>
      </c>
      <c r="I66" s="136">
        <f t="shared" si="8"/>
        <v>2328.5077893687708</v>
      </c>
      <c r="J66" s="81">
        <v>55525883.563332997</v>
      </c>
      <c r="K66" s="81">
        <v>8971863.5569799989</v>
      </c>
      <c r="L66" s="81">
        <v>3111557.9592499998</v>
      </c>
      <c r="M66" s="81">
        <v>2618975.6294539995</v>
      </c>
      <c r="N66" s="136">
        <f>SUM(J66:M66)</f>
        <v>70228280.709016994</v>
      </c>
      <c r="O66" s="137">
        <v>31000</v>
      </c>
      <c r="P66" s="135" t="s">
        <v>144</v>
      </c>
      <c r="Q66" s="132">
        <f t="shared" si="5"/>
        <v>2265.42840996829</v>
      </c>
      <c r="R66" s="138">
        <f t="shared" si="2"/>
        <v>0.2000286498013962</v>
      </c>
      <c r="S66" s="139" t="e">
        <f t="shared" si="3"/>
        <v>#VALUE!</v>
      </c>
      <c r="T66" s="140">
        <f t="shared" si="3"/>
        <v>-2.709004440031562</v>
      </c>
    </row>
    <row r="67" spans="1:20" s="121" customFormat="1" ht="31.5" customHeight="1" x14ac:dyDescent="0.25">
      <c r="A67" s="131" t="s">
        <v>384</v>
      </c>
      <c r="B67" s="132">
        <v>183036.6</v>
      </c>
      <c r="C67" s="132">
        <v>928906.47</v>
      </c>
      <c r="D67" s="132">
        <v>2479.73</v>
      </c>
      <c r="E67" s="133">
        <v>1641722.07</v>
      </c>
      <c r="F67" s="132">
        <f>SUM(B67:E67)</f>
        <v>2756144.87</v>
      </c>
      <c r="G67" s="134">
        <v>1</v>
      </c>
      <c r="H67" s="135" t="s">
        <v>58</v>
      </c>
      <c r="I67" s="136">
        <f t="shared" si="8"/>
        <v>2756144.87</v>
      </c>
      <c r="J67" s="81">
        <v>3579200.4531739997</v>
      </c>
      <c r="K67" s="81">
        <v>88966.000579999993</v>
      </c>
      <c r="L67" s="81">
        <v>164749.10843200001</v>
      </c>
      <c r="M67" s="81">
        <v>60579.979160000003</v>
      </c>
      <c r="N67" s="136">
        <f>SUM(J67:M67)</f>
        <v>3893495.5413459996</v>
      </c>
      <c r="O67" s="137">
        <v>1</v>
      </c>
      <c r="P67" s="135" t="s">
        <v>58</v>
      </c>
      <c r="Q67" s="132">
        <f t="shared" si="5"/>
        <v>3893495.5413459996</v>
      </c>
      <c r="R67" s="138">
        <f t="shared" si="2"/>
        <v>41.265997434525254</v>
      </c>
      <c r="S67" s="139" t="e">
        <f t="shared" si="3"/>
        <v>#VALUE!</v>
      </c>
      <c r="T67" s="140">
        <f t="shared" si="3"/>
        <v>41.265997434525254</v>
      </c>
    </row>
    <row r="68" spans="1:20" s="121" customFormat="1" ht="47.25" x14ac:dyDescent="0.25">
      <c r="A68" s="131" t="s">
        <v>385</v>
      </c>
      <c r="B68" s="132">
        <v>41493262.039999999</v>
      </c>
      <c r="C68" s="132">
        <v>2359456.83</v>
      </c>
      <c r="D68" s="132">
        <v>1670265.25</v>
      </c>
      <c r="E68" s="133">
        <v>1460520.06</v>
      </c>
      <c r="F68" s="132">
        <f t="shared" ref="F68:F93" si="9">SUM(B68:E68)</f>
        <v>46983504.18</v>
      </c>
      <c r="G68" s="134">
        <v>454</v>
      </c>
      <c r="H68" s="135" t="s">
        <v>38</v>
      </c>
      <c r="I68" s="136">
        <f t="shared" si="8"/>
        <v>103487.89466960353</v>
      </c>
      <c r="J68" s="81">
        <v>24575772.736219</v>
      </c>
      <c r="K68" s="81">
        <v>13485301.596709</v>
      </c>
      <c r="L68" s="81">
        <v>7145250.1782569354</v>
      </c>
      <c r="M68" s="81">
        <v>7747270.9923299998</v>
      </c>
      <c r="N68" s="136">
        <f t="shared" si="6"/>
        <v>52953595.503514938</v>
      </c>
      <c r="O68" s="137">
        <v>430</v>
      </c>
      <c r="P68" s="136" t="s">
        <v>38</v>
      </c>
      <c r="Q68" s="132">
        <f t="shared" si="5"/>
        <v>123147.89651980218</v>
      </c>
      <c r="R68" s="138">
        <f t="shared" si="2"/>
        <v>12.70678172629</v>
      </c>
      <c r="S68" s="139" t="e">
        <f t="shared" si="3"/>
        <v>#VALUE!</v>
      </c>
      <c r="T68" s="140">
        <f t="shared" si="3"/>
        <v>18.997392799385246</v>
      </c>
    </row>
    <row r="69" spans="1:20" s="121" customFormat="1" ht="31.5" customHeight="1" x14ac:dyDescent="0.25">
      <c r="A69" s="131" t="s">
        <v>386</v>
      </c>
      <c r="B69" s="132">
        <v>15149994.57</v>
      </c>
      <c r="C69" s="132">
        <v>7012572.1100000003</v>
      </c>
      <c r="D69" s="132">
        <v>1074395.07</v>
      </c>
      <c r="E69" s="133">
        <v>998879.23</v>
      </c>
      <c r="F69" s="132">
        <f t="shared" si="9"/>
        <v>24235840.98</v>
      </c>
      <c r="G69" s="134">
        <v>1</v>
      </c>
      <c r="H69" s="135" t="s">
        <v>58</v>
      </c>
      <c r="I69" s="136">
        <f t="shared" si="8"/>
        <v>24235840.98</v>
      </c>
      <c r="J69" s="81">
        <v>29589557.627022997</v>
      </c>
      <c r="K69" s="81">
        <v>3793302.3449229999</v>
      </c>
      <c r="L69" s="81">
        <v>1944002.9836599999</v>
      </c>
      <c r="M69" s="81">
        <v>1849853.8887529997</v>
      </c>
      <c r="N69" s="136">
        <f>SUM(J69:M69)</f>
        <v>37176716.844358996</v>
      </c>
      <c r="O69" s="137">
        <v>2</v>
      </c>
      <c r="P69" s="135" t="s">
        <v>58</v>
      </c>
      <c r="Q69" s="132">
        <f t="shared" si="5"/>
        <v>18588358.422179498</v>
      </c>
      <c r="R69" s="138">
        <f t="shared" si="2"/>
        <v>53.395613030462272</v>
      </c>
      <c r="S69" s="139" t="e">
        <f t="shared" si="3"/>
        <v>#VALUE!</v>
      </c>
      <c r="T69" s="140">
        <f t="shared" si="3"/>
        <v>-23.302193484768864</v>
      </c>
    </row>
    <row r="70" spans="1:20" s="121" customFormat="1" ht="47.25" x14ac:dyDescent="0.25">
      <c r="A70" s="131" t="s">
        <v>387</v>
      </c>
      <c r="B70" s="132">
        <v>24853743.98</v>
      </c>
      <c r="C70" s="132">
        <v>23086956.050000001</v>
      </c>
      <c r="D70" s="132">
        <v>1875209.64</v>
      </c>
      <c r="E70" s="133">
        <v>753283.12</v>
      </c>
      <c r="F70" s="132">
        <f t="shared" si="9"/>
        <v>50569192.789999999</v>
      </c>
      <c r="G70" s="134">
        <v>132</v>
      </c>
      <c r="H70" s="135" t="s">
        <v>38</v>
      </c>
      <c r="I70" s="136">
        <f t="shared" si="8"/>
        <v>383099.94537878787</v>
      </c>
      <c r="J70" s="81">
        <v>27125041.243555997</v>
      </c>
      <c r="K70" s="81">
        <v>22926168.691530999</v>
      </c>
      <c r="L70" s="81">
        <v>1444436.1049779998</v>
      </c>
      <c r="M70" s="81">
        <v>2013786.4435129997</v>
      </c>
      <c r="N70" s="136">
        <f>SUM(J70:M70)</f>
        <v>53509432.483577996</v>
      </c>
      <c r="O70" s="137">
        <v>145</v>
      </c>
      <c r="P70" s="135" t="s">
        <v>38</v>
      </c>
      <c r="Q70" s="132">
        <f t="shared" si="5"/>
        <v>369030.56885226205</v>
      </c>
      <c r="R70" s="138">
        <f t="shared" ref="R70:R94" si="10">(N70-F70)/F70*100</f>
        <v>5.8142903442971834</v>
      </c>
      <c r="S70" s="139" t="e">
        <f t="shared" ref="S70:T94" si="11">(P70-H70)/H70*100</f>
        <v>#VALUE!</v>
      </c>
      <c r="T70" s="140">
        <f t="shared" si="11"/>
        <v>-3.672508100363943</v>
      </c>
    </row>
    <row r="71" spans="1:20" s="121" customFormat="1" ht="31.5" customHeight="1" x14ac:dyDescent="0.25">
      <c r="A71" s="131" t="s">
        <v>388</v>
      </c>
      <c r="B71" s="132">
        <v>4443633.1500000004</v>
      </c>
      <c r="C71" s="132">
        <v>2033353.91</v>
      </c>
      <c r="D71" s="132">
        <v>591475.34</v>
      </c>
      <c r="E71" s="133">
        <v>3145156.75</v>
      </c>
      <c r="F71" s="132">
        <f t="shared" si="9"/>
        <v>10213619.15</v>
      </c>
      <c r="G71" s="134">
        <v>1</v>
      </c>
      <c r="H71" s="135" t="s">
        <v>58</v>
      </c>
      <c r="I71" s="136">
        <f t="shared" si="8"/>
        <v>10213619.15</v>
      </c>
      <c r="J71" s="81">
        <v>9234618.7244849987</v>
      </c>
      <c r="K71" s="81">
        <v>1351569.3767230001</v>
      </c>
      <c r="L71" s="81">
        <v>401835.90973500005</v>
      </c>
      <c r="M71" s="81">
        <v>262307.78514300002</v>
      </c>
      <c r="N71" s="136">
        <f>SUM(J71:M71)</f>
        <v>11250331.796085998</v>
      </c>
      <c r="O71" s="137">
        <v>2</v>
      </c>
      <c r="P71" s="135" t="s">
        <v>58</v>
      </c>
      <c r="Q71" s="132">
        <f t="shared" si="5"/>
        <v>5625165.8980429992</v>
      </c>
      <c r="R71" s="138">
        <f t="shared" si="10"/>
        <v>10.150296685832446</v>
      </c>
      <c r="S71" s="139" t="e">
        <f t="shared" si="11"/>
        <v>#VALUE!</v>
      </c>
      <c r="T71" s="140">
        <f t="shared" si="11"/>
        <v>-44.924851657083778</v>
      </c>
    </row>
    <row r="72" spans="1:20" ht="47.25" x14ac:dyDescent="0.25">
      <c r="A72" s="113" t="s">
        <v>389</v>
      </c>
      <c r="B72" s="132">
        <v>81715168.280000001</v>
      </c>
      <c r="C72" s="132">
        <v>10804675.439999999</v>
      </c>
      <c r="D72" s="132">
        <v>3150551.35</v>
      </c>
      <c r="E72" s="133">
        <v>6541589.54</v>
      </c>
      <c r="F72" s="132">
        <f t="shared" si="9"/>
        <v>102211984.61</v>
      </c>
      <c r="G72" s="134">
        <v>467</v>
      </c>
      <c r="H72" s="135" t="s">
        <v>38</v>
      </c>
      <c r="I72" s="132">
        <f t="shared" si="8"/>
        <v>218869.34605995717</v>
      </c>
      <c r="J72" s="81">
        <v>63265221.923750006</v>
      </c>
      <c r="K72" s="81">
        <v>31779999.932889998</v>
      </c>
      <c r="L72" s="81">
        <v>3682039.4134759996</v>
      </c>
      <c r="M72" s="81">
        <v>2961277.3657600004</v>
      </c>
      <c r="N72" s="132">
        <f>SUM(J72:M72)</f>
        <v>101688538.63587601</v>
      </c>
      <c r="O72" s="133">
        <v>455</v>
      </c>
      <c r="P72" s="135" t="s">
        <v>38</v>
      </c>
      <c r="Q72" s="132">
        <f t="shared" si="5"/>
        <v>223491.29370522202</v>
      </c>
      <c r="R72" s="138">
        <f t="shared" si="10"/>
        <v>-0.51211800271880525</v>
      </c>
      <c r="S72" s="139" t="e">
        <f t="shared" si="11"/>
        <v>#VALUE!</v>
      </c>
      <c r="T72" s="140">
        <f t="shared" si="11"/>
        <v>2.111738225780925</v>
      </c>
    </row>
    <row r="73" spans="1:20" s="121" customFormat="1" ht="31.5" customHeight="1" x14ac:dyDescent="0.25">
      <c r="A73" s="131" t="s">
        <v>390</v>
      </c>
      <c r="B73" s="132">
        <v>1142474.48</v>
      </c>
      <c r="C73" s="132">
        <v>8442038.9499999993</v>
      </c>
      <c r="D73" s="132">
        <v>1781180.49</v>
      </c>
      <c r="E73" s="133">
        <v>2182273.19</v>
      </c>
      <c r="F73" s="132">
        <f t="shared" si="9"/>
        <v>13547967.109999999</v>
      </c>
      <c r="G73" s="134">
        <v>1</v>
      </c>
      <c r="H73" s="135" t="s">
        <v>58</v>
      </c>
      <c r="I73" s="136">
        <f t="shared" si="8"/>
        <v>13547967.109999999</v>
      </c>
      <c r="J73" s="136">
        <v>11759232.120666999</v>
      </c>
      <c r="K73" s="136">
        <v>1407352.08443</v>
      </c>
      <c r="L73" s="136">
        <v>583229.59062299994</v>
      </c>
      <c r="M73" s="136">
        <v>751532.66274900001</v>
      </c>
      <c r="N73" s="136">
        <f t="shared" si="6"/>
        <v>14501346.458469</v>
      </c>
      <c r="O73" s="157">
        <v>3</v>
      </c>
      <c r="P73" s="135" t="s">
        <v>58</v>
      </c>
      <c r="Q73" s="132">
        <f t="shared" si="5"/>
        <v>4833782.1528230002</v>
      </c>
      <c r="R73" s="138">
        <f t="shared" si="10"/>
        <v>7.0370657142007218</v>
      </c>
      <c r="S73" s="139" t="e">
        <f t="shared" si="11"/>
        <v>#VALUE!</v>
      </c>
      <c r="T73" s="140">
        <f t="shared" si="11"/>
        <v>-64.320978095266412</v>
      </c>
    </row>
    <row r="74" spans="1:20" s="121" customFormat="1" ht="63" x14ac:dyDescent="0.25">
      <c r="A74" s="131" t="s">
        <v>391</v>
      </c>
      <c r="B74" s="132">
        <v>40600385.93</v>
      </c>
      <c r="C74" s="132">
        <v>2186893.64</v>
      </c>
      <c r="D74" s="132">
        <v>1414553.37</v>
      </c>
      <c r="E74" s="133">
        <v>1368587.38</v>
      </c>
      <c r="F74" s="132">
        <f t="shared" si="9"/>
        <v>45570420.32</v>
      </c>
      <c r="G74" s="134">
        <v>24</v>
      </c>
      <c r="H74" s="135" t="s">
        <v>144</v>
      </c>
      <c r="I74" s="136">
        <f t="shared" si="8"/>
        <v>1898767.5133333334</v>
      </c>
      <c r="J74" s="153">
        <v>28355752.532504</v>
      </c>
      <c r="K74" s="153">
        <v>7834212.4731900012</v>
      </c>
      <c r="L74" s="153">
        <v>2283780.6466609999</v>
      </c>
      <c r="M74" s="153">
        <v>1803373.5013840001</v>
      </c>
      <c r="N74" s="153">
        <f>SUM(J74:M74)</f>
        <v>40277119.153738998</v>
      </c>
      <c r="O74" s="121">
        <v>14</v>
      </c>
      <c r="P74" s="135" t="s">
        <v>144</v>
      </c>
      <c r="Q74" s="132">
        <f t="shared" si="5"/>
        <v>2876937.0824099286</v>
      </c>
      <c r="R74" s="138">
        <f t="shared" si="10"/>
        <v>-11.615651400822985</v>
      </c>
      <c r="S74" s="139" t="e">
        <f t="shared" si="11"/>
        <v>#VALUE!</v>
      </c>
      <c r="T74" s="140">
        <f t="shared" si="11"/>
        <v>51.516026170017739</v>
      </c>
    </row>
    <row r="75" spans="1:20" s="121" customFormat="1" ht="78.75" x14ac:dyDescent="0.25">
      <c r="A75" s="131" t="s">
        <v>392</v>
      </c>
      <c r="B75" s="132">
        <v>34422429.560000002</v>
      </c>
      <c r="C75" s="132">
        <v>4995577.55</v>
      </c>
      <c r="D75" s="132">
        <v>2511321.9</v>
      </c>
      <c r="E75" s="133">
        <v>2366708.71</v>
      </c>
      <c r="F75" s="132">
        <f t="shared" si="9"/>
        <v>44296037.719999999</v>
      </c>
      <c r="G75" s="134">
        <v>8</v>
      </c>
      <c r="H75" s="135" t="s">
        <v>146</v>
      </c>
      <c r="I75" s="136">
        <f t="shared" si="8"/>
        <v>5537004.7149999999</v>
      </c>
      <c r="J75" s="81">
        <v>60102565.585546017</v>
      </c>
      <c r="K75" s="81">
        <v>17826746.321465999</v>
      </c>
      <c r="L75" s="81">
        <v>3720477.5310549997</v>
      </c>
      <c r="M75" s="81">
        <v>3301046.5569409998</v>
      </c>
      <c r="N75" s="136">
        <f t="shared" si="6"/>
        <v>84950835.995008022</v>
      </c>
      <c r="O75" s="137">
        <v>10</v>
      </c>
      <c r="P75" s="136" t="s">
        <v>146</v>
      </c>
      <c r="Q75" s="132">
        <f t="shared" ref="Q75:Q88" si="12">+N75/O75</f>
        <v>8495083.5995008014</v>
      </c>
      <c r="R75" s="138">
        <f t="shared" si="10"/>
        <v>91.779762632475979</v>
      </c>
      <c r="S75" s="139" t="e">
        <f t="shared" si="11"/>
        <v>#VALUE!</v>
      </c>
      <c r="T75" s="140">
        <f t="shared" si="11"/>
        <v>53.42381010598077</v>
      </c>
    </row>
    <row r="76" spans="1:20" ht="31.5" customHeight="1" x14ac:dyDescent="0.25">
      <c r="A76" s="142" t="s">
        <v>393</v>
      </c>
      <c r="B76" s="132">
        <v>715227.21</v>
      </c>
      <c r="C76" s="132">
        <v>75590.73</v>
      </c>
      <c r="D76" s="132">
        <v>45223.25</v>
      </c>
      <c r="E76" s="133">
        <v>534760.52</v>
      </c>
      <c r="F76" s="132">
        <f t="shared" si="9"/>
        <v>1370801.71</v>
      </c>
      <c r="G76" s="134">
        <v>1</v>
      </c>
      <c r="H76" s="135" t="s">
        <v>58</v>
      </c>
      <c r="I76" s="132">
        <f t="shared" si="8"/>
        <v>1370801.71</v>
      </c>
      <c r="J76" s="81">
        <v>677933.03078000015</v>
      </c>
      <c r="K76" s="81">
        <v>637152.36290600151</v>
      </c>
      <c r="L76" s="81">
        <v>68643.113045999999</v>
      </c>
      <c r="M76" s="81">
        <v>483770.06512599997</v>
      </c>
      <c r="N76" s="136">
        <f t="shared" si="6"/>
        <v>1867498.5718580016</v>
      </c>
      <c r="O76" s="133">
        <v>1</v>
      </c>
      <c r="P76" s="132" t="s">
        <v>58</v>
      </c>
      <c r="Q76" s="132">
        <f t="shared" si="12"/>
        <v>1867498.5718580016</v>
      </c>
      <c r="R76" s="138">
        <f t="shared" si="10"/>
        <v>36.234041600225439</v>
      </c>
      <c r="S76" s="139" t="e">
        <f t="shared" si="11"/>
        <v>#VALUE!</v>
      </c>
      <c r="T76" s="140">
        <f t="shared" si="11"/>
        <v>36.234041600225439</v>
      </c>
    </row>
    <row r="77" spans="1:20" ht="31.5" x14ac:dyDescent="0.25">
      <c r="A77" s="142" t="s">
        <v>394</v>
      </c>
      <c r="B77" s="132">
        <v>2314341.66</v>
      </c>
      <c r="C77" s="132">
        <v>555566.72</v>
      </c>
      <c r="D77" s="132">
        <v>312608.28999999998</v>
      </c>
      <c r="E77" s="133">
        <v>535724.76</v>
      </c>
      <c r="F77" s="132">
        <f t="shared" si="9"/>
        <v>3718241.4299999997</v>
      </c>
      <c r="G77" s="134">
        <v>1</v>
      </c>
      <c r="H77" s="135" t="s">
        <v>58</v>
      </c>
      <c r="I77" s="132">
        <f t="shared" si="8"/>
        <v>3718241.4299999997</v>
      </c>
      <c r="J77" s="81">
        <v>1969051.0178760001</v>
      </c>
      <c r="K77" s="81">
        <v>2482176.2756629996</v>
      </c>
      <c r="L77" s="81">
        <v>278218.67738799995</v>
      </c>
      <c r="M77" s="81">
        <v>1117384.6206169999</v>
      </c>
      <c r="N77" s="136">
        <f t="shared" si="6"/>
        <v>5846830.5915440004</v>
      </c>
      <c r="O77" s="133">
        <v>1</v>
      </c>
      <c r="P77" s="132" t="s">
        <v>58</v>
      </c>
      <c r="Q77" s="132">
        <f t="shared" si="12"/>
        <v>5846830.5915440004</v>
      </c>
      <c r="R77" s="138">
        <f t="shared" si="10"/>
        <v>57.247201442322712</v>
      </c>
      <c r="S77" s="139" t="e">
        <f t="shared" si="11"/>
        <v>#VALUE!</v>
      </c>
      <c r="T77" s="140">
        <f t="shared" si="11"/>
        <v>57.247201442322712</v>
      </c>
    </row>
    <row r="78" spans="1:20" s="121" customFormat="1" ht="47.25" x14ac:dyDescent="0.25">
      <c r="A78" s="141" t="s">
        <v>395</v>
      </c>
      <c r="B78" s="132">
        <v>22142690.710000001</v>
      </c>
      <c r="C78" s="132">
        <v>15030139.970000001</v>
      </c>
      <c r="D78" s="132">
        <v>1269407.54</v>
      </c>
      <c r="E78" s="133">
        <v>1684300.49</v>
      </c>
      <c r="F78" s="132">
        <f t="shared" si="9"/>
        <v>40126538.710000001</v>
      </c>
      <c r="G78" s="134">
        <v>42</v>
      </c>
      <c r="H78" s="135" t="s">
        <v>19</v>
      </c>
      <c r="I78" s="136">
        <f t="shared" si="8"/>
        <v>955393.77880952379</v>
      </c>
      <c r="J78" s="81">
        <v>18384301.238681003</v>
      </c>
      <c r="K78" s="81">
        <v>20758376.809126001</v>
      </c>
      <c r="L78" s="81">
        <v>1165481.58005</v>
      </c>
      <c r="M78" s="81">
        <v>1726125.5581240002</v>
      </c>
      <c r="N78" s="136">
        <f t="shared" si="6"/>
        <v>42034285.185981005</v>
      </c>
      <c r="O78" s="137">
        <v>35</v>
      </c>
      <c r="P78" s="136" t="s">
        <v>19</v>
      </c>
      <c r="Q78" s="132">
        <f t="shared" si="12"/>
        <v>1200979.5767423145</v>
      </c>
      <c r="R78" s="138">
        <f t="shared" si="10"/>
        <v>4.7543260328745269</v>
      </c>
      <c r="S78" s="139" t="e">
        <f t="shared" si="11"/>
        <v>#VALUE!</v>
      </c>
      <c r="T78" s="140">
        <f t="shared" si="11"/>
        <v>25.705191239449444</v>
      </c>
    </row>
    <row r="79" spans="1:20" ht="31.5" customHeight="1" x14ac:dyDescent="0.25">
      <c r="A79" s="142" t="s">
        <v>396</v>
      </c>
      <c r="B79" s="132">
        <v>23191548.760000002</v>
      </c>
      <c r="C79" s="132">
        <v>3749887.81</v>
      </c>
      <c r="D79" s="132">
        <v>1967203.11</v>
      </c>
      <c r="E79" s="133">
        <v>3525138.46</v>
      </c>
      <c r="F79" s="132">
        <f t="shared" si="9"/>
        <v>32433778.140000001</v>
      </c>
      <c r="G79" s="134">
        <v>7250</v>
      </c>
      <c r="H79" s="135" t="s">
        <v>52</v>
      </c>
      <c r="I79" s="132">
        <f t="shared" si="8"/>
        <v>4473.6245710344829</v>
      </c>
      <c r="J79" s="81">
        <v>21491758.884330995</v>
      </c>
      <c r="K79" s="81">
        <v>3942228.2310410002</v>
      </c>
      <c r="L79" s="81">
        <v>1561368.5822630003</v>
      </c>
      <c r="M79" s="81">
        <v>3594028.6077049999</v>
      </c>
      <c r="N79" s="136">
        <f>SUM(J79:M79)</f>
        <v>30589384.305339996</v>
      </c>
      <c r="O79" s="137">
        <v>12596</v>
      </c>
      <c r="P79" s="135" t="s">
        <v>52</v>
      </c>
      <c r="Q79" s="132">
        <f>+N79/O79</f>
        <v>2428.4998654604633</v>
      </c>
      <c r="R79" s="138">
        <f t="shared" si="10"/>
        <v>-5.6866450362295184</v>
      </c>
      <c r="S79" s="139" t="e">
        <f t="shared" si="11"/>
        <v>#VALUE!</v>
      </c>
      <c r="T79" s="140">
        <f t="shared" si="11"/>
        <v>-45.715161679315976</v>
      </c>
    </row>
    <row r="80" spans="1:20" ht="31.5" customHeight="1" x14ac:dyDescent="0.25">
      <c r="A80" s="142" t="s">
        <v>397</v>
      </c>
      <c r="B80" s="132">
        <v>3763607.05</v>
      </c>
      <c r="C80" s="132">
        <v>564216.02</v>
      </c>
      <c r="D80" s="132">
        <v>327453.49</v>
      </c>
      <c r="E80" s="133">
        <v>586017.17000000004</v>
      </c>
      <c r="F80" s="132">
        <f t="shared" si="9"/>
        <v>5241293.7300000004</v>
      </c>
      <c r="G80" s="134">
        <v>1</v>
      </c>
      <c r="H80" s="135" t="s">
        <v>58</v>
      </c>
      <c r="I80" s="132">
        <f t="shared" si="8"/>
        <v>5241293.7300000004</v>
      </c>
      <c r="J80" s="81">
        <v>3475824.4238039996</v>
      </c>
      <c r="K80" s="81">
        <v>576303.68481200002</v>
      </c>
      <c r="L80" s="81">
        <v>260168.21006099999</v>
      </c>
      <c r="M80" s="81">
        <v>549473.86978399986</v>
      </c>
      <c r="N80" s="136">
        <f t="shared" ref="N80:N86" si="13">SUM(J80:M80)</f>
        <v>4861770.1884610001</v>
      </c>
      <c r="O80" s="137">
        <v>1</v>
      </c>
      <c r="P80" s="136" t="s">
        <v>58</v>
      </c>
      <c r="Q80" s="132">
        <f t="shared" si="12"/>
        <v>4861770.1884610001</v>
      </c>
      <c r="R80" s="138">
        <f t="shared" si="10"/>
        <v>-7.2410279043643735</v>
      </c>
      <c r="S80" s="139" t="e">
        <f t="shared" si="11"/>
        <v>#VALUE!</v>
      </c>
      <c r="T80" s="140">
        <f t="shared" si="11"/>
        <v>-7.2410279043643735</v>
      </c>
    </row>
    <row r="81" spans="1:20" ht="31.5" customHeight="1" x14ac:dyDescent="0.25">
      <c r="A81" s="142" t="s">
        <v>398</v>
      </c>
      <c r="B81" s="132">
        <v>12505080.800000001</v>
      </c>
      <c r="C81" s="132">
        <v>2249416.7200000002</v>
      </c>
      <c r="D81" s="132">
        <v>1020531.31</v>
      </c>
      <c r="E81" s="133">
        <v>2365639.7999999998</v>
      </c>
      <c r="F81" s="132">
        <f t="shared" si="9"/>
        <v>18140668.630000003</v>
      </c>
      <c r="G81" s="134">
        <v>22</v>
      </c>
      <c r="H81" s="135" t="s">
        <v>38</v>
      </c>
      <c r="I81" s="132">
        <f t="shared" si="8"/>
        <v>824575.84681818192</v>
      </c>
      <c r="J81" s="132">
        <v>11637499.495962001</v>
      </c>
      <c r="K81" s="132">
        <v>2187195.1393289999</v>
      </c>
      <c r="L81" s="132">
        <v>837955.86484699999</v>
      </c>
      <c r="M81" s="132">
        <v>1140102.110599</v>
      </c>
      <c r="N81" s="136">
        <f>SUM(J81:M81)</f>
        <v>15802752.610737002</v>
      </c>
      <c r="O81" s="137">
        <v>17</v>
      </c>
      <c r="P81" s="135" t="s">
        <v>38</v>
      </c>
      <c r="Q81" s="132">
        <f t="shared" si="12"/>
        <v>929573.68298452953</v>
      </c>
      <c r="R81" s="138">
        <f t="shared" si="10"/>
        <v>-12.887705888616965</v>
      </c>
      <c r="S81" s="139" t="e">
        <f t="shared" si="11"/>
        <v>#VALUE!</v>
      </c>
      <c r="T81" s="140">
        <f t="shared" si="11"/>
        <v>12.733557085319225</v>
      </c>
    </row>
    <row r="82" spans="1:20" s="121" customFormat="1" ht="31.5" customHeight="1" x14ac:dyDescent="0.25">
      <c r="A82" s="141" t="s">
        <v>399</v>
      </c>
      <c r="B82" s="132">
        <v>10203546.800000001</v>
      </c>
      <c r="C82" s="132">
        <v>74095.75</v>
      </c>
      <c r="D82" s="132">
        <v>24929.81</v>
      </c>
      <c r="E82" s="133">
        <v>2336.77</v>
      </c>
      <c r="F82" s="132">
        <f t="shared" si="9"/>
        <v>10304909.130000001</v>
      </c>
      <c r="G82" s="134">
        <v>1</v>
      </c>
      <c r="H82" s="135" t="s">
        <v>58</v>
      </c>
      <c r="I82" s="136">
        <f t="shared" si="8"/>
        <v>10304909.130000001</v>
      </c>
      <c r="J82" s="81">
        <v>5578751.7191179991</v>
      </c>
      <c r="K82" s="81">
        <v>1212744.6330880001</v>
      </c>
      <c r="L82" s="81">
        <v>389784.76018600003</v>
      </c>
      <c r="M82" s="81">
        <v>1276105.4314830001</v>
      </c>
      <c r="N82" s="136">
        <f t="shared" si="13"/>
        <v>8457386.5438749995</v>
      </c>
      <c r="O82" s="137">
        <v>1</v>
      </c>
      <c r="P82" s="135" t="s">
        <v>58</v>
      </c>
      <c r="Q82" s="132">
        <f t="shared" si="12"/>
        <v>8457386.5438749995</v>
      </c>
      <c r="R82" s="138">
        <f t="shared" si="10"/>
        <v>-17.928567470298511</v>
      </c>
      <c r="S82" s="139" t="e">
        <f t="shared" si="11"/>
        <v>#VALUE!</v>
      </c>
      <c r="T82" s="140">
        <f t="shared" si="11"/>
        <v>-17.928567470298511</v>
      </c>
    </row>
    <row r="83" spans="1:20" s="121" customFormat="1" ht="47.25" x14ac:dyDescent="0.25">
      <c r="A83" s="141" t="s">
        <v>400</v>
      </c>
      <c r="B83" s="132">
        <v>37443373.592282005</v>
      </c>
      <c r="C83" s="132">
        <v>37716619.562930003</v>
      </c>
      <c r="D83" s="132">
        <v>3572807.2052430697</v>
      </c>
      <c r="E83" s="133">
        <v>4538097.9492125995</v>
      </c>
      <c r="F83" s="132">
        <f t="shared" si="9"/>
        <v>83270898.309667677</v>
      </c>
      <c r="G83" s="134">
        <v>40</v>
      </c>
      <c r="H83" s="135" t="s">
        <v>38</v>
      </c>
      <c r="I83" s="136">
        <f t="shared" si="8"/>
        <v>2081772.457741692</v>
      </c>
      <c r="J83" s="81">
        <v>24855733.853079997</v>
      </c>
      <c r="K83" s="81">
        <v>12350569.490805998</v>
      </c>
      <c r="L83" s="81">
        <v>1430404.0328609999</v>
      </c>
      <c r="M83" s="81">
        <v>1693750.1077930001</v>
      </c>
      <c r="N83" s="136">
        <f>SUM(J83:M83)</f>
        <v>40330457.484540001</v>
      </c>
      <c r="O83" s="137">
        <v>42</v>
      </c>
      <c r="P83" s="136" t="s">
        <v>38</v>
      </c>
      <c r="Q83" s="132">
        <f>+N83/O83</f>
        <v>960248.98772714287</v>
      </c>
      <c r="R83" s="138">
        <f t="shared" si="10"/>
        <v>-51.567164155526271</v>
      </c>
      <c r="S83" s="139" t="e">
        <f t="shared" si="11"/>
        <v>#VALUE!</v>
      </c>
      <c r="T83" s="140">
        <f t="shared" si="11"/>
        <v>-53.873489671929775</v>
      </c>
    </row>
    <row r="84" spans="1:20" ht="31.5" customHeight="1" x14ac:dyDescent="0.25">
      <c r="A84" s="142" t="s">
        <v>401</v>
      </c>
      <c r="B84" s="132">
        <v>12505080.800000001</v>
      </c>
      <c r="C84" s="132">
        <v>2249416.7200000002</v>
      </c>
      <c r="D84" s="132">
        <v>1020531.31</v>
      </c>
      <c r="E84" s="133">
        <v>2365639.7999999998</v>
      </c>
      <c r="F84" s="132">
        <f>SUM(B84:E84)</f>
        <v>18140668.630000003</v>
      </c>
      <c r="G84" s="134">
        <v>22</v>
      </c>
      <c r="H84" s="135" t="s">
        <v>38</v>
      </c>
      <c r="I84" s="132">
        <f t="shared" si="8"/>
        <v>824575.84681818192</v>
      </c>
      <c r="J84" s="81">
        <v>11135300.094408</v>
      </c>
      <c r="K84" s="81">
        <v>3865216.8757529999</v>
      </c>
      <c r="L84" s="81">
        <v>795409.97333299997</v>
      </c>
      <c r="M84" s="81">
        <v>1411694.6291899995</v>
      </c>
      <c r="N84" s="136">
        <f>SUM(J84:M84)</f>
        <v>17207621.572683997</v>
      </c>
      <c r="O84" s="137">
        <v>20</v>
      </c>
      <c r="P84" s="136" t="s">
        <v>38</v>
      </c>
      <c r="Q84" s="132">
        <f>+N84/O84</f>
        <v>860381.07863419992</v>
      </c>
      <c r="R84" s="138">
        <f t="shared" si="10"/>
        <v>-5.1433994873429594</v>
      </c>
      <c r="S84" s="139" t="e">
        <f t="shared" si="11"/>
        <v>#VALUE!</v>
      </c>
      <c r="T84" s="140">
        <f t="shared" si="11"/>
        <v>4.3422605639227525</v>
      </c>
    </row>
    <row r="85" spans="1:20" ht="31.5" customHeight="1" x14ac:dyDescent="0.25">
      <c r="A85" s="142" t="s">
        <v>402</v>
      </c>
      <c r="B85" s="311" t="s">
        <v>325</v>
      </c>
      <c r="C85" s="312"/>
      <c r="D85" s="312"/>
      <c r="E85" s="312"/>
      <c r="F85" s="312"/>
      <c r="G85" s="312"/>
      <c r="H85" s="312"/>
      <c r="I85" s="313"/>
      <c r="J85" s="81">
        <v>2548353.3396239998</v>
      </c>
      <c r="K85" s="81">
        <v>1645111.5029600002</v>
      </c>
      <c r="L85" s="81">
        <v>119962.52963200001</v>
      </c>
      <c r="M85" s="81">
        <v>62797.475864999986</v>
      </c>
      <c r="N85" s="136">
        <f t="shared" si="13"/>
        <v>4376224.8480810001</v>
      </c>
      <c r="O85" s="137">
        <v>1</v>
      </c>
      <c r="P85" s="136" t="s">
        <v>58</v>
      </c>
      <c r="Q85" s="132">
        <f>+N85/O85</f>
        <v>4376224.8480810001</v>
      </c>
      <c r="R85" s="138" t="e">
        <f t="shared" si="10"/>
        <v>#DIV/0!</v>
      </c>
      <c r="S85" s="139" t="e">
        <f t="shared" si="11"/>
        <v>#VALUE!</v>
      </c>
      <c r="T85" s="140" t="e">
        <f t="shared" si="11"/>
        <v>#DIV/0!</v>
      </c>
    </row>
    <row r="86" spans="1:20" ht="31.5" customHeight="1" x14ac:dyDescent="0.25">
      <c r="A86" s="142" t="s">
        <v>403</v>
      </c>
      <c r="B86" s="311" t="s">
        <v>325</v>
      </c>
      <c r="C86" s="312"/>
      <c r="D86" s="312"/>
      <c r="E86" s="312"/>
      <c r="F86" s="312"/>
      <c r="G86" s="312"/>
      <c r="H86" s="312"/>
      <c r="I86" s="313"/>
      <c r="J86" s="81">
        <v>20955037.207505003</v>
      </c>
      <c r="K86" s="81">
        <v>8582873.5615679994</v>
      </c>
      <c r="L86" s="81">
        <v>1645421.5238700002</v>
      </c>
      <c r="M86" s="81">
        <v>2289686.5376789998</v>
      </c>
      <c r="N86" s="136">
        <f t="shared" si="13"/>
        <v>33473018.830622002</v>
      </c>
      <c r="O86" s="137">
        <v>10</v>
      </c>
      <c r="P86" s="136" t="s">
        <v>38</v>
      </c>
      <c r="Q86" s="132">
        <f>+N86/O86</f>
        <v>3347301.8830622002</v>
      </c>
      <c r="R86" s="138" t="e">
        <f t="shared" si="10"/>
        <v>#DIV/0!</v>
      </c>
      <c r="S86" s="139" t="e">
        <f t="shared" si="11"/>
        <v>#VALUE!</v>
      </c>
      <c r="T86" s="140" t="e">
        <f t="shared" si="11"/>
        <v>#DIV/0!</v>
      </c>
    </row>
    <row r="87" spans="1:20" ht="31.5" customHeight="1" x14ac:dyDescent="0.25">
      <c r="A87" s="142" t="s">
        <v>404</v>
      </c>
      <c r="B87" s="311" t="s">
        <v>325</v>
      </c>
      <c r="C87" s="312"/>
      <c r="D87" s="312"/>
      <c r="E87" s="312"/>
      <c r="F87" s="312"/>
      <c r="G87" s="312"/>
      <c r="H87" s="312"/>
      <c r="I87" s="313"/>
      <c r="J87" s="81">
        <v>842120.84850000008</v>
      </c>
      <c r="K87" s="81">
        <v>71819.126109000004</v>
      </c>
      <c r="L87" s="81">
        <v>88465.231234000006</v>
      </c>
      <c r="M87" s="81">
        <v>53545.511615000003</v>
      </c>
      <c r="N87" s="136">
        <f>SUM(J87:M87)</f>
        <v>1055950.7174580002</v>
      </c>
      <c r="O87" s="137">
        <v>1</v>
      </c>
      <c r="P87" s="136" t="s">
        <v>58</v>
      </c>
      <c r="Q87" s="132">
        <f>+N87/O87</f>
        <v>1055950.7174580002</v>
      </c>
      <c r="R87" s="138" t="e">
        <f t="shared" si="10"/>
        <v>#DIV/0!</v>
      </c>
      <c r="S87" s="139" t="e">
        <f t="shared" si="11"/>
        <v>#VALUE!</v>
      </c>
      <c r="T87" s="140" t="e">
        <f t="shared" si="11"/>
        <v>#DIV/0!</v>
      </c>
    </row>
    <row r="88" spans="1:20" s="121" customFormat="1" ht="31.5" customHeight="1" x14ac:dyDescent="0.25">
      <c r="A88" s="141" t="s">
        <v>405</v>
      </c>
      <c r="B88" s="132">
        <v>46273117.979999997</v>
      </c>
      <c r="C88" s="132">
        <v>11297985.42</v>
      </c>
      <c r="D88" s="132">
        <v>862228.36</v>
      </c>
      <c r="E88" s="133">
        <v>754433.48</v>
      </c>
      <c r="F88" s="132">
        <f t="shared" si="9"/>
        <v>59187765.239999995</v>
      </c>
      <c r="G88" s="134">
        <v>4225</v>
      </c>
      <c r="H88" s="135" t="s">
        <v>288</v>
      </c>
      <c r="I88" s="136">
        <f>F88/G88</f>
        <v>14008.938518343193</v>
      </c>
      <c r="J88" s="81">
        <v>51907585.444236994</v>
      </c>
      <c r="K88" s="81">
        <v>11429855.143662</v>
      </c>
      <c r="L88" s="81">
        <v>1439355.158512</v>
      </c>
      <c r="M88" s="81">
        <v>2127117.6826269999</v>
      </c>
      <c r="N88" s="136">
        <f>SUM(J88:M88)</f>
        <v>66903913.429037996</v>
      </c>
      <c r="O88" s="137">
        <v>4534</v>
      </c>
      <c r="P88" s="136" t="s">
        <v>288</v>
      </c>
      <c r="Q88" s="132">
        <f t="shared" si="12"/>
        <v>14756.046190789148</v>
      </c>
      <c r="R88" s="138">
        <f t="shared" si="10"/>
        <v>13.036728380856843</v>
      </c>
      <c r="S88" s="139" t="e">
        <f t="shared" si="11"/>
        <v>#VALUE!</v>
      </c>
      <c r="T88" s="140">
        <f t="shared" si="11"/>
        <v>5.3330783875430505</v>
      </c>
    </row>
    <row r="89" spans="1:20" s="121" customFormat="1" ht="31.5" customHeight="1" x14ac:dyDescent="0.25">
      <c r="A89" s="158" t="s">
        <v>406</v>
      </c>
      <c r="B89" s="159">
        <v>532616.27</v>
      </c>
      <c r="C89" s="159">
        <v>86432.58</v>
      </c>
      <c r="D89" s="159">
        <v>57147.38</v>
      </c>
      <c r="E89" s="160">
        <v>24140.29</v>
      </c>
      <c r="F89" s="159">
        <f t="shared" si="9"/>
        <v>700336.52</v>
      </c>
      <c r="G89" s="134">
        <v>5</v>
      </c>
      <c r="H89" s="135" t="s">
        <v>19</v>
      </c>
      <c r="I89" s="136">
        <f t="shared" ref="I89:I94" si="14">F89/G89</f>
        <v>140067.304</v>
      </c>
      <c r="J89" s="308" t="s">
        <v>27</v>
      </c>
      <c r="K89" s="309"/>
      <c r="L89" s="309"/>
      <c r="M89" s="309"/>
      <c r="N89" s="309"/>
      <c r="O89" s="309"/>
      <c r="P89" s="309"/>
      <c r="Q89" s="310"/>
      <c r="R89" s="138">
        <f t="shared" si="10"/>
        <v>-100</v>
      </c>
      <c r="S89" s="139" t="e">
        <f t="shared" si="11"/>
        <v>#VALUE!</v>
      </c>
      <c r="T89" s="140">
        <f t="shared" si="11"/>
        <v>-100</v>
      </c>
    </row>
    <row r="90" spans="1:20" s="121" customFormat="1" ht="31.5" customHeight="1" x14ac:dyDescent="0.25">
      <c r="A90" s="158" t="s">
        <v>407</v>
      </c>
      <c r="B90" s="159">
        <v>203546.8</v>
      </c>
      <c r="C90" s="159">
        <v>74095.75</v>
      </c>
      <c r="D90" s="159">
        <v>24929.81</v>
      </c>
      <c r="E90" s="160">
        <v>2336.77</v>
      </c>
      <c r="F90" s="159">
        <f t="shared" si="9"/>
        <v>304909.13</v>
      </c>
      <c r="G90" s="134">
        <v>3</v>
      </c>
      <c r="H90" s="135" t="s">
        <v>38</v>
      </c>
      <c r="I90" s="136">
        <f t="shared" si="14"/>
        <v>101636.37666666666</v>
      </c>
      <c r="J90" s="308" t="s">
        <v>27</v>
      </c>
      <c r="K90" s="309"/>
      <c r="L90" s="309"/>
      <c r="M90" s="309"/>
      <c r="N90" s="309"/>
      <c r="O90" s="309"/>
      <c r="P90" s="309"/>
      <c r="Q90" s="310"/>
      <c r="R90" s="138">
        <f t="shared" si="10"/>
        <v>-100</v>
      </c>
      <c r="S90" s="139" t="e">
        <f t="shared" si="11"/>
        <v>#VALUE!</v>
      </c>
      <c r="T90" s="140">
        <f t="shared" si="11"/>
        <v>-100</v>
      </c>
    </row>
    <row r="91" spans="1:20" s="121" customFormat="1" ht="31.5" customHeight="1" x14ac:dyDescent="0.25">
      <c r="A91" s="158" t="s">
        <v>408</v>
      </c>
      <c r="B91" s="159">
        <v>7508021.2400000002</v>
      </c>
      <c r="C91" s="159">
        <v>1430180.23</v>
      </c>
      <c r="D91" s="159">
        <v>514670.8</v>
      </c>
      <c r="E91" s="160">
        <v>438596.6</v>
      </c>
      <c r="F91" s="159">
        <f t="shared" si="9"/>
        <v>9891468.870000001</v>
      </c>
      <c r="G91" s="134">
        <v>2</v>
      </c>
      <c r="H91" s="135" t="s">
        <v>19</v>
      </c>
      <c r="I91" s="136">
        <f t="shared" si="14"/>
        <v>4945734.4350000005</v>
      </c>
      <c r="J91" s="308" t="s">
        <v>27</v>
      </c>
      <c r="K91" s="309"/>
      <c r="L91" s="309"/>
      <c r="M91" s="309"/>
      <c r="N91" s="309"/>
      <c r="O91" s="309"/>
      <c r="P91" s="309"/>
      <c r="Q91" s="310"/>
      <c r="R91" s="138">
        <f t="shared" si="10"/>
        <v>-100</v>
      </c>
      <c r="S91" s="139" t="e">
        <f t="shared" si="11"/>
        <v>#VALUE!</v>
      </c>
      <c r="T91" s="140">
        <f t="shared" si="11"/>
        <v>-100</v>
      </c>
    </row>
    <row r="92" spans="1:20" s="121" customFormat="1" ht="31.5" customHeight="1" x14ac:dyDescent="0.25">
      <c r="A92" s="158" t="s">
        <v>409</v>
      </c>
      <c r="B92" s="159">
        <v>13122363.949999999</v>
      </c>
      <c r="C92" s="159">
        <v>2123884.16</v>
      </c>
      <c r="D92" s="159">
        <v>896818.16</v>
      </c>
      <c r="E92" s="160">
        <v>974462.72</v>
      </c>
      <c r="F92" s="159">
        <f t="shared" si="9"/>
        <v>17117528.989999998</v>
      </c>
      <c r="G92" s="134">
        <v>1</v>
      </c>
      <c r="H92" s="135" t="s">
        <v>19</v>
      </c>
      <c r="I92" s="136">
        <f t="shared" si="14"/>
        <v>17117528.989999998</v>
      </c>
      <c r="J92" s="308" t="s">
        <v>27</v>
      </c>
      <c r="K92" s="309"/>
      <c r="L92" s="309"/>
      <c r="M92" s="309"/>
      <c r="N92" s="309"/>
      <c r="O92" s="309"/>
      <c r="P92" s="309"/>
      <c r="Q92" s="310"/>
      <c r="R92" s="138">
        <f t="shared" si="10"/>
        <v>-100</v>
      </c>
      <c r="S92" s="139" t="e">
        <f t="shared" si="11"/>
        <v>#VALUE!</v>
      </c>
      <c r="T92" s="140">
        <f t="shared" si="11"/>
        <v>-100</v>
      </c>
    </row>
    <row r="93" spans="1:20" s="121" customFormat="1" ht="31.5" customHeight="1" x14ac:dyDescent="0.25">
      <c r="A93" s="158" t="s">
        <v>410</v>
      </c>
      <c r="B93" s="159">
        <v>6018793.1500000004</v>
      </c>
      <c r="C93" s="159">
        <v>954711.47</v>
      </c>
      <c r="D93" s="159">
        <v>488859.89</v>
      </c>
      <c r="E93" s="160">
        <v>464003.77</v>
      </c>
      <c r="F93" s="159">
        <f t="shared" si="9"/>
        <v>7926368.2799999993</v>
      </c>
      <c r="G93" s="134">
        <v>5</v>
      </c>
      <c r="H93" s="135" t="s">
        <v>38</v>
      </c>
      <c r="I93" s="136">
        <f t="shared" si="14"/>
        <v>1585273.656</v>
      </c>
      <c r="J93" s="308" t="s">
        <v>27</v>
      </c>
      <c r="K93" s="309"/>
      <c r="L93" s="309"/>
      <c r="M93" s="309"/>
      <c r="N93" s="309"/>
      <c r="O93" s="309"/>
      <c r="P93" s="309"/>
      <c r="Q93" s="310"/>
      <c r="R93" s="138">
        <f t="shared" si="10"/>
        <v>-100</v>
      </c>
      <c r="S93" s="139" t="e">
        <f t="shared" si="11"/>
        <v>#VALUE!</v>
      </c>
      <c r="T93" s="140">
        <f t="shared" si="11"/>
        <v>-100</v>
      </c>
    </row>
    <row r="94" spans="1:20" s="121" customFormat="1" ht="31.5" customHeight="1" x14ac:dyDescent="0.25">
      <c r="A94" s="158" t="s">
        <v>411</v>
      </c>
      <c r="B94" s="159">
        <v>7061649.6699999999</v>
      </c>
      <c r="C94" s="159">
        <v>1240313.1199999999</v>
      </c>
      <c r="D94" s="159">
        <v>467371.00999999995</v>
      </c>
      <c r="E94" s="160">
        <v>473340.61000000004</v>
      </c>
      <c r="F94" s="159">
        <f>SUM(B94:E94)-0.01</f>
        <v>9242674.4000000004</v>
      </c>
      <c r="G94" s="134">
        <v>2</v>
      </c>
      <c r="H94" s="135" t="s">
        <v>19</v>
      </c>
      <c r="I94" s="136">
        <f t="shared" si="14"/>
        <v>4621337.2</v>
      </c>
      <c r="J94" s="308" t="s">
        <v>27</v>
      </c>
      <c r="K94" s="309"/>
      <c r="L94" s="309"/>
      <c r="M94" s="309"/>
      <c r="N94" s="309"/>
      <c r="O94" s="309"/>
      <c r="P94" s="309"/>
      <c r="Q94" s="310"/>
      <c r="R94" s="138">
        <f t="shared" si="10"/>
        <v>-100</v>
      </c>
      <c r="S94" s="139" t="e">
        <f t="shared" si="11"/>
        <v>#VALUE!</v>
      </c>
      <c r="T94" s="140">
        <f t="shared" si="11"/>
        <v>-100</v>
      </c>
    </row>
    <row r="95" spans="1:20" s="166" customFormat="1" ht="16.5" thickBot="1" x14ac:dyDescent="0.25">
      <c r="A95" s="161" t="s">
        <v>412</v>
      </c>
      <c r="B95" s="162">
        <f>SUM(B6:B94)</f>
        <v>3391792435.2399998</v>
      </c>
      <c r="C95" s="162">
        <f>SUM(C6:C94)</f>
        <v>1538323323.0899999</v>
      </c>
      <c r="D95" s="162">
        <f>SUM(D6:D94)</f>
        <v>228581101.55090198</v>
      </c>
      <c r="E95" s="162">
        <f>SUM(E6:E94)</f>
        <v>314959196.54000002</v>
      </c>
      <c r="F95" s="162">
        <f>SUM(F6:F94)</f>
        <v>5473656056.4108992</v>
      </c>
      <c r="G95" s="163"/>
      <c r="H95" s="163"/>
      <c r="I95" s="164"/>
      <c r="J95" s="162">
        <f>SUM(J6:J94)</f>
        <v>3306305065.6773062</v>
      </c>
      <c r="K95" s="162">
        <f>SUM(K6:K94)</f>
        <v>1479578875.0942013</v>
      </c>
      <c r="L95" s="162">
        <f>SUM(L6:L94)</f>
        <v>223072236.94999993</v>
      </c>
      <c r="M95" s="162">
        <f>SUM(M6:M94)</f>
        <v>307037072.45579898</v>
      </c>
      <c r="N95" s="162">
        <f>SUM(N6:N94)</f>
        <v>5315993250.1773062</v>
      </c>
      <c r="O95" s="164"/>
      <c r="P95" s="164"/>
      <c r="Q95" s="164"/>
      <c r="R95" s="165"/>
      <c r="S95" s="165"/>
      <c r="T95" s="164"/>
    </row>
    <row r="96" spans="1:20" s="121" customFormat="1" ht="16.5" thickTop="1" x14ac:dyDescent="0.25">
      <c r="A96" s="167"/>
      <c r="B96" s="168"/>
      <c r="C96" s="168"/>
      <c r="D96" s="168"/>
      <c r="E96" s="155"/>
      <c r="F96" s="168"/>
      <c r="G96" s="169"/>
      <c r="H96" s="169"/>
      <c r="I96" s="168"/>
      <c r="J96" s="168"/>
      <c r="K96" s="168"/>
      <c r="L96" s="168"/>
      <c r="M96" s="168"/>
      <c r="N96" s="168"/>
      <c r="O96" s="155"/>
      <c r="P96" s="168"/>
      <c r="Q96" s="168"/>
      <c r="R96" s="170"/>
      <c r="S96" s="170"/>
      <c r="T96" s="168"/>
    </row>
    <row r="99" spans="2:20" x14ac:dyDescent="0.25">
      <c r="B99" s="150">
        <v>3391792435.2399998</v>
      </c>
      <c r="C99" s="150">
        <v>1538323323.0899999</v>
      </c>
      <c r="D99" s="150">
        <v>228581101.55090198</v>
      </c>
      <c r="E99" s="171">
        <v>314959196.54000002</v>
      </c>
      <c r="F99" s="150">
        <v>5473656056.4209023</v>
      </c>
      <c r="J99" s="168">
        <v>3306305065.6800003</v>
      </c>
      <c r="K99" s="168">
        <v>1479578875.0942013</v>
      </c>
      <c r="L99" s="168">
        <v>223072236.9499999</v>
      </c>
      <c r="M99" s="168">
        <v>307037072.45579898</v>
      </c>
      <c r="N99" s="168">
        <f>SUM(J99:M99)</f>
        <v>5315993250.1800003</v>
      </c>
    </row>
    <row r="101" spans="2:20" x14ac:dyDescent="0.25">
      <c r="B101" s="150">
        <f>+B99-B95</f>
        <v>0</v>
      </c>
      <c r="C101" s="150">
        <f>+C99-C95</f>
        <v>0</v>
      </c>
      <c r="D101" s="150">
        <f>+D99-D95</f>
        <v>0</v>
      </c>
      <c r="E101" s="171">
        <f>+E99-E95</f>
        <v>0</v>
      </c>
      <c r="F101" s="150">
        <f>+F99-F95</f>
        <v>1.0003089904785156E-2</v>
      </c>
      <c r="J101" s="168">
        <f>+J99-J95</f>
        <v>2.6941299438476563E-3</v>
      </c>
      <c r="K101" s="168">
        <f>+K99-K95</f>
        <v>0</v>
      </c>
      <c r="L101" s="168">
        <f>+L99-L95</f>
        <v>0</v>
      </c>
      <c r="M101" s="168">
        <f>+M99-M95</f>
        <v>0</v>
      </c>
      <c r="N101" s="168">
        <f>+N99-N95</f>
        <v>2.6941299438476563E-3</v>
      </c>
    </row>
    <row r="102" spans="2:20" s="121" customFormat="1" x14ac:dyDescent="0.25">
      <c r="B102" s="168"/>
      <c r="C102" s="168"/>
      <c r="D102" s="168"/>
      <c r="E102" s="155"/>
      <c r="F102" s="168"/>
      <c r="G102" s="169"/>
      <c r="H102" s="169"/>
      <c r="I102" s="168"/>
      <c r="J102" s="168"/>
      <c r="K102" s="168"/>
      <c r="L102" s="168"/>
      <c r="M102" s="168"/>
      <c r="N102" s="168"/>
      <c r="O102" s="155"/>
      <c r="P102" s="168"/>
      <c r="Q102" s="168"/>
      <c r="R102" s="170"/>
      <c r="S102" s="170"/>
      <c r="T102" s="168"/>
    </row>
  </sheetData>
  <mergeCells count="15">
    <mergeCell ref="A1:T1"/>
    <mergeCell ref="R2:T2"/>
    <mergeCell ref="A4:A5"/>
    <mergeCell ref="B4:I4"/>
    <mergeCell ref="J4:Q4"/>
    <mergeCell ref="R4:T4"/>
    <mergeCell ref="J91:Q91"/>
    <mergeCell ref="J92:Q92"/>
    <mergeCell ref="J93:Q93"/>
    <mergeCell ref="J94:Q94"/>
    <mergeCell ref="B85:I85"/>
    <mergeCell ref="B86:I86"/>
    <mergeCell ref="B87:I87"/>
    <mergeCell ref="J89:Q89"/>
    <mergeCell ref="J90:Q9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sqref="A1:XFD1048576"/>
    </sheetView>
  </sheetViews>
  <sheetFormatPr defaultRowHeight="13.5" x14ac:dyDescent="0.2"/>
  <cols>
    <col min="1" max="1" width="15.125" style="187" customWidth="1"/>
    <col min="2" max="2" width="107.125" style="187" customWidth="1"/>
    <col min="3" max="256" width="9" style="108"/>
    <col min="257" max="257" width="15.125" style="108" customWidth="1"/>
    <col min="258" max="258" width="107.125" style="108" customWidth="1"/>
    <col min="259" max="512" width="9" style="108"/>
    <col min="513" max="513" width="15.125" style="108" customWidth="1"/>
    <col min="514" max="514" width="107.125" style="108" customWidth="1"/>
    <col min="515" max="768" width="9" style="108"/>
    <col min="769" max="769" width="15.125" style="108" customWidth="1"/>
    <col min="770" max="770" width="107.125" style="108" customWidth="1"/>
    <col min="771" max="1024" width="9" style="108"/>
    <col min="1025" max="1025" width="15.125" style="108" customWidth="1"/>
    <col min="1026" max="1026" width="107.125" style="108" customWidth="1"/>
    <col min="1027" max="1280" width="9" style="108"/>
    <col min="1281" max="1281" width="15.125" style="108" customWidth="1"/>
    <col min="1282" max="1282" width="107.125" style="108" customWidth="1"/>
    <col min="1283" max="1536" width="9" style="108"/>
    <col min="1537" max="1537" width="15.125" style="108" customWidth="1"/>
    <col min="1538" max="1538" width="107.125" style="108" customWidth="1"/>
    <col min="1539" max="1792" width="9" style="108"/>
    <col min="1793" max="1793" width="15.125" style="108" customWidth="1"/>
    <col min="1794" max="1794" width="107.125" style="108" customWidth="1"/>
    <col min="1795" max="2048" width="9" style="108"/>
    <col min="2049" max="2049" width="15.125" style="108" customWidth="1"/>
    <col min="2050" max="2050" width="107.125" style="108" customWidth="1"/>
    <col min="2051" max="2304" width="9" style="108"/>
    <col min="2305" max="2305" width="15.125" style="108" customWidth="1"/>
    <col min="2306" max="2306" width="107.125" style="108" customWidth="1"/>
    <col min="2307" max="2560" width="9" style="108"/>
    <col min="2561" max="2561" width="15.125" style="108" customWidth="1"/>
    <col min="2562" max="2562" width="107.125" style="108" customWidth="1"/>
    <col min="2563" max="2816" width="9" style="108"/>
    <col min="2817" max="2817" width="15.125" style="108" customWidth="1"/>
    <col min="2818" max="2818" width="107.125" style="108" customWidth="1"/>
    <col min="2819" max="3072" width="9" style="108"/>
    <col min="3073" max="3073" width="15.125" style="108" customWidth="1"/>
    <col min="3074" max="3074" width="107.125" style="108" customWidth="1"/>
    <col min="3075" max="3328" width="9" style="108"/>
    <col min="3329" max="3329" width="15.125" style="108" customWidth="1"/>
    <col min="3330" max="3330" width="107.125" style="108" customWidth="1"/>
    <col min="3331" max="3584" width="9" style="108"/>
    <col min="3585" max="3585" width="15.125" style="108" customWidth="1"/>
    <col min="3586" max="3586" width="107.125" style="108" customWidth="1"/>
    <col min="3587" max="3840" width="9" style="108"/>
    <col min="3841" max="3841" width="15.125" style="108" customWidth="1"/>
    <col min="3842" max="3842" width="107.125" style="108" customWidth="1"/>
    <col min="3843" max="4096" width="9" style="108"/>
    <col min="4097" max="4097" width="15.125" style="108" customWidth="1"/>
    <col min="4098" max="4098" width="107.125" style="108" customWidth="1"/>
    <col min="4099" max="4352" width="9" style="108"/>
    <col min="4353" max="4353" width="15.125" style="108" customWidth="1"/>
    <col min="4354" max="4354" width="107.125" style="108" customWidth="1"/>
    <col min="4355" max="4608" width="9" style="108"/>
    <col min="4609" max="4609" width="15.125" style="108" customWidth="1"/>
    <col min="4610" max="4610" width="107.125" style="108" customWidth="1"/>
    <col min="4611" max="4864" width="9" style="108"/>
    <col min="4865" max="4865" width="15.125" style="108" customWidth="1"/>
    <col min="4866" max="4866" width="107.125" style="108" customWidth="1"/>
    <col min="4867" max="5120" width="9" style="108"/>
    <col min="5121" max="5121" width="15.125" style="108" customWidth="1"/>
    <col min="5122" max="5122" width="107.125" style="108" customWidth="1"/>
    <col min="5123" max="5376" width="9" style="108"/>
    <col min="5377" max="5377" width="15.125" style="108" customWidth="1"/>
    <col min="5378" max="5378" width="107.125" style="108" customWidth="1"/>
    <col min="5379" max="5632" width="9" style="108"/>
    <col min="5633" max="5633" width="15.125" style="108" customWidth="1"/>
    <col min="5634" max="5634" width="107.125" style="108" customWidth="1"/>
    <col min="5635" max="5888" width="9" style="108"/>
    <col min="5889" max="5889" width="15.125" style="108" customWidth="1"/>
    <col min="5890" max="5890" width="107.125" style="108" customWidth="1"/>
    <col min="5891" max="6144" width="9" style="108"/>
    <col min="6145" max="6145" width="15.125" style="108" customWidth="1"/>
    <col min="6146" max="6146" width="107.125" style="108" customWidth="1"/>
    <col min="6147" max="6400" width="9" style="108"/>
    <col min="6401" max="6401" width="15.125" style="108" customWidth="1"/>
    <col min="6402" max="6402" width="107.125" style="108" customWidth="1"/>
    <col min="6403" max="6656" width="9" style="108"/>
    <col min="6657" max="6657" width="15.125" style="108" customWidth="1"/>
    <col min="6658" max="6658" width="107.125" style="108" customWidth="1"/>
    <col min="6659" max="6912" width="9" style="108"/>
    <col min="6913" max="6913" width="15.125" style="108" customWidth="1"/>
    <col min="6914" max="6914" width="107.125" style="108" customWidth="1"/>
    <col min="6915" max="7168" width="9" style="108"/>
    <col min="7169" max="7169" width="15.125" style="108" customWidth="1"/>
    <col min="7170" max="7170" width="107.125" style="108" customWidth="1"/>
    <col min="7171" max="7424" width="9" style="108"/>
    <col min="7425" max="7425" width="15.125" style="108" customWidth="1"/>
    <col min="7426" max="7426" width="107.125" style="108" customWidth="1"/>
    <col min="7427" max="7680" width="9" style="108"/>
    <col min="7681" max="7681" width="15.125" style="108" customWidth="1"/>
    <col min="7682" max="7682" width="107.125" style="108" customWidth="1"/>
    <col min="7683" max="7936" width="9" style="108"/>
    <col min="7937" max="7937" width="15.125" style="108" customWidth="1"/>
    <col min="7938" max="7938" width="107.125" style="108" customWidth="1"/>
    <col min="7939" max="8192" width="9" style="108"/>
    <col min="8193" max="8193" width="15.125" style="108" customWidth="1"/>
    <col min="8194" max="8194" width="107.125" style="108" customWidth="1"/>
    <col min="8195" max="8448" width="9" style="108"/>
    <col min="8449" max="8449" width="15.125" style="108" customWidth="1"/>
    <col min="8450" max="8450" width="107.125" style="108" customWidth="1"/>
    <col min="8451" max="8704" width="9" style="108"/>
    <col min="8705" max="8705" width="15.125" style="108" customWidth="1"/>
    <col min="8706" max="8706" width="107.125" style="108" customWidth="1"/>
    <col min="8707" max="8960" width="9" style="108"/>
    <col min="8961" max="8961" width="15.125" style="108" customWidth="1"/>
    <col min="8962" max="8962" width="107.125" style="108" customWidth="1"/>
    <col min="8963" max="9216" width="9" style="108"/>
    <col min="9217" max="9217" width="15.125" style="108" customWidth="1"/>
    <col min="9218" max="9218" width="107.125" style="108" customWidth="1"/>
    <col min="9219" max="9472" width="9" style="108"/>
    <col min="9473" max="9473" width="15.125" style="108" customWidth="1"/>
    <col min="9474" max="9474" width="107.125" style="108" customWidth="1"/>
    <col min="9475" max="9728" width="9" style="108"/>
    <col min="9729" max="9729" width="15.125" style="108" customWidth="1"/>
    <col min="9730" max="9730" width="107.125" style="108" customWidth="1"/>
    <col min="9731" max="9984" width="9" style="108"/>
    <col min="9985" max="9985" width="15.125" style="108" customWidth="1"/>
    <col min="9986" max="9986" width="107.125" style="108" customWidth="1"/>
    <col min="9987" max="10240" width="9" style="108"/>
    <col min="10241" max="10241" width="15.125" style="108" customWidth="1"/>
    <col min="10242" max="10242" width="107.125" style="108" customWidth="1"/>
    <col min="10243" max="10496" width="9" style="108"/>
    <col min="10497" max="10497" width="15.125" style="108" customWidth="1"/>
    <col min="10498" max="10498" width="107.125" style="108" customWidth="1"/>
    <col min="10499" max="10752" width="9" style="108"/>
    <col min="10753" max="10753" width="15.125" style="108" customWidth="1"/>
    <col min="10754" max="10754" width="107.125" style="108" customWidth="1"/>
    <col min="10755" max="11008" width="9" style="108"/>
    <col min="11009" max="11009" width="15.125" style="108" customWidth="1"/>
    <col min="11010" max="11010" width="107.125" style="108" customWidth="1"/>
    <col min="11011" max="11264" width="9" style="108"/>
    <col min="11265" max="11265" width="15.125" style="108" customWidth="1"/>
    <col min="11266" max="11266" width="107.125" style="108" customWidth="1"/>
    <col min="11267" max="11520" width="9" style="108"/>
    <col min="11521" max="11521" width="15.125" style="108" customWidth="1"/>
    <col min="11522" max="11522" width="107.125" style="108" customWidth="1"/>
    <col min="11523" max="11776" width="9" style="108"/>
    <col min="11777" max="11777" width="15.125" style="108" customWidth="1"/>
    <col min="11778" max="11778" width="107.125" style="108" customWidth="1"/>
    <col min="11779" max="12032" width="9" style="108"/>
    <col min="12033" max="12033" width="15.125" style="108" customWidth="1"/>
    <col min="12034" max="12034" width="107.125" style="108" customWidth="1"/>
    <col min="12035" max="12288" width="9" style="108"/>
    <col min="12289" max="12289" width="15.125" style="108" customWidth="1"/>
    <col min="12290" max="12290" width="107.125" style="108" customWidth="1"/>
    <col min="12291" max="12544" width="9" style="108"/>
    <col min="12545" max="12545" width="15.125" style="108" customWidth="1"/>
    <col min="12546" max="12546" width="107.125" style="108" customWidth="1"/>
    <col min="12547" max="12800" width="9" style="108"/>
    <col min="12801" max="12801" width="15.125" style="108" customWidth="1"/>
    <col min="12802" max="12802" width="107.125" style="108" customWidth="1"/>
    <col min="12803" max="13056" width="9" style="108"/>
    <col min="13057" max="13057" width="15.125" style="108" customWidth="1"/>
    <col min="13058" max="13058" width="107.125" style="108" customWidth="1"/>
    <col min="13059" max="13312" width="9" style="108"/>
    <col min="13313" max="13313" width="15.125" style="108" customWidth="1"/>
    <col min="13314" max="13314" width="107.125" style="108" customWidth="1"/>
    <col min="13315" max="13568" width="9" style="108"/>
    <col min="13569" max="13569" width="15.125" style="108" customWidth="1"/>
    <col min="13570" max="13570" width="107.125" style="108" customWidth="1"/>
    <col min="13571" max="13824" width="9" style="108"/>
    <col min="13825" max="13825" width="15.125" style="108" customWidth="1"/>
    <col min="13826" max="13826" width="107.125" style="108" customWidth="1"/>
    <col min="13827" max="14080" width="9" style="108"/>
    <col min="14081" max="14081" width="15.125" style="108" customWidth="1"/>
    <col min="14082" max="14082" width="107.125" style="108" customWidth="1"/>
    <col min="14083" max="14336" width="9" style="108"/>
    <col min="14337" max="14337" width="15.125" style="108" customWidth="1"/>
    <col min="14338" max="14338" width="107.125" style="108" customWidth="1"/>
    <col min="14339" max="14592" width="9" style="108"/>
    <col min="14593" max="14593" width="15.125" style="108" customWidth="1"/>
    <col min="14594" max="14594" width="107.125" style="108" customWidth="1"/>
    <col min="14595" max="14848" width="9" style="108"/>
    <col min="14849" max="14849" width="15.125" style="108" customWidth="1"/>
    <col min="14850" max="14850" width="107.125" style="108" customWidth="1"/>
    <col min="14851" max="15104" width="9" style="108"/>
    <col min="15105" max="15105" width="15.125" style="108" customWidth="1"/>
    <col min="15106" max="15106" width="107.125" style="108" customWidth="1"/>
    <col min="15107" max="15360" width="9" style="108"/>
    <col min="15361" max="15361" width="15.125" style="108" customWidth="1"/>
    <col min="15362" max="15362" width="107.125" style="108" customWidth="1"/>
    <col min="15363" max="15616" width="9" style="108"/>
    <col min="15617" max="15617" width="15.125" style="108" customWidth="1"/>
    <col min="15618" max="15618" width="107.125" style="108" customWidth="1"/>
    <col min="15619" max="15872" width="9" style="108"/>
    <col min="15873" max="15873" width="15.125" style="108" customWidth="1"/>
    <col min="15874" max="15874" width="107.125" style="108" customWidth="1"/>
    <col min="15875" max="16128" width="9" style="108"/>
    <col min="16129" max="16129" width="15.125" style="108" customWidth="1"/>
    <col min="16130" max="16130" width="107.125" style="108" customWidth="1"/>
    <col min="16131" max="16384" width="9" style="108"/>
  </cols>
  <sheetData>
    <row r="1" spans="1:2" ht="21" x14ac:dyDescent="0.2">
      <c r="A1" s="320" t="s">
        <v>413</v>
      </c>
      <c r="B1" s="320"/>
    </row>
    <row r="2" spans="1:2" ht="21" x14ac:dyDescent="0.2">
      <c r="A2" s="321" t="s">
        <v>414</v>
      </c>
      <c r="B2" s="321"/>
    </row>
    <row r="3" spans="1:2" ht="37.5" x14ac:dyDescent="0.2">
      <c r="A3" s="113" t="s">
        <v>352</v>
      </c>
      <c r="B3" s="111" t="s">
        <v>415</v>
      </c>
    </row>
    <row r="4" spans="1:2" s="112" customFormat="1" ht="47.25" x14ac:dyDescent="0.2">
      <c r="A4" s="113" t="s">
        <v>362</v>
      </c>
      <c r="B4" s="111" t="s">
        <v>416</v>
      </c>
    </row>
    <row r="5" spans="1:2" ht="78.75" x14ac:dyDescent="0.2">
      <c r="A5" s="113" t="s">
        <v>368</v>
      </c>
      <c r="B5" s="111" t="s">
        <v>417</v>
      </c>
    </row>
    <row r="6" spans="1:2" s="112" customFormat="1" ht="63" x14ac:dyDescent="0.2">
      <c r="A6" s="113" t="s">
        <v>369</v>
      </c>
      <c r="B6" s="111" t="s">
        <v>418</v>
      </c>
    </row>
    <row r="7" spans="1:2" s="112" customFormat="1" ht="31.5" x14ac:dyDescent="0.2">
      <c r="A7" s="113" t="s">
        <v>372</v>
      </c>
      <c r="B7" s="111" t="s">
        <v>419</v>
      </c>
    </row>
    <row r="8" spans="1:2" s="112" customFormat="1" ht="47.25" x14ac:dyDescent="0.2">
      <c r="A8" s="142" t="s">
        <v>376</v>
      </c>
      <c r="B8" s="111" t="s">
        <v>420</v>
      </c>
    </row>
  </sheetData>
  <mergeCells count="2">
    <mergeCell ref="A1:B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2"/>
  <sheetViews>
    <sheetView topLeftCell="E28" workbookViewId="0">
      <selection activeCell="K32" sqref="K32"/>
    </sheetView>
  </sheetViews>
  <sheetFormatPr defaultRowHeight="15.75" x14ac:dyDescent="0.25"/>
  <cols>
    <col min="1" max="1" width="23.375" style="143" customWidth="1"/>
    <col min="2" max="2" width="14.5" style="150" customWidth="1"/>
    <col min="3" max="3" width="15.375" style="150" customWidth="1"/>
    <col min="4" max="4" width="14.625" style="150" customWidth="1"/>
    <col min="5" max="5" width="13" style="150" customWidth="1"/>
    <col min="6" max="6" width="15.25" style="150" customWidth="1"/>
    <col min="7" max="7" width="7.625" style="208" bestFit="1" customWidth="1"/>
    <col min="8" max="8" width="6.375" style="189" bestFit="1" customWidth="1"/>
    <col min="9" max="17" width="14.875" style="202" customWidth="1"/>
    <col min="18" max="18" width="8.5" style="207" customWidth="1"/>
    <col min="19" max="19" width="9.75" style="207" customWidth="1"/>
    <col min="20" max="20" width="9.875" style="202" bestFit="1" customWidth="1"/>
    <col min="21" max="256" width="9" style="143"/>
    <col min="257" max="257" width="23.375" style="143" customWidth="1"/>
    <col min="258" max="262" width="0" style="143" hidden="1" customWidth="1"/>
    <col min="263" max="263" width="7.625" style="143" bestFit="1" customWidth="1"/>
    <col min="264" max="264" width="6.375" style="143" bestFit="1" customWidth="1"/>
    <col min="265" max="271" width="0" style="143" hidden="1" customWidth="1"/>
    <col min="272" max="273" width="14.875" style="143" customWidth="1"/>
    <col min="274" max="274" width="8.5" style="143" customWidth="1"/>
    <col min="275" max="275" width="9.75" style="143" customWidth="1"/>
    <col min="276" max="276" width="9.875" style="143" bestFit="1" customWidth="1"/>
    <col min="277" max="512" width="9" style="143"/>
    <col min="513" max="513" width="23.375" style="143" customWidth="1"/>
    <col min="514" max="518" width="0" style="143" hidden="1" customWidth="1"/>
    <col min="519" max="519" width="7.625" style="143" bestFit="1" customWidth="1"/>
    <col min="520" max="520" width="6.375" style="143" bestFit="1" customWidth="1"/>
    <col min="521" max="527" width="0" style="143" hidden="1" customWidth="1"/>
    <col min="528" max="529" width="14.875" style="143" customWidth="1"/>
    <col min="530" max="530" width="8.5" style="143" customWidth="1"/>
    <col min="531" max="531" width="9.75" style="143" customWidth="1"/>
    <col min="532" max="532" width="9.875" style="143" bestFit="1" customWidth="1"/>
    <col min="533" max="768" width="9" style="143"/>
    <col min="769" max="769" width="23.375" style="143" customWidth="1"/>
    <col min="770" max="774" width="0" style="143" hidden="1" customWidth="1"/>
    <col min="775" max="775" width="7.625" style="143" bestFit="1" customWidth="1"/>
    <col min="776" max="776" width="6.375" style="143" bestFit="1" customWidth="1"/>
    <col min="777" max="783" width="0" style="143" hidden="1" customWidth="1"/>
    <col min="784" max="785" width="14.875" style="143" customWidth="1"/>
    <col min="786" max="786" width="8.5" style="143" customWidth="1"/>
    <col min="787" max="787" width="9.75" style="143" customWidth="1"/>
    <col min="788" max="788" width="9.875" style="143" bestFit="1" customWidth="1"/>
    <col min="789" max="1024" width="9" style="143"/>
    <col min="1025" max="1025" width="23.375" style="143" customWidth="1"/>
    <col min="1026" max="1030" width="0" style="143" hidden="1" customWidth="1"/>
    <col min="1031" max="1031" width="7.625" style="143" bestFit="1" customWidth="1"/>
    <col min="1032" max="1032" width="6.375" style="143" bestFit="1" customWidth="1"/>
    <col min="1033" max="1039" width="0" style="143" hidden="1" customWidth="1"/>
    <col min="1040" max="1041" width="14.875" style="143" customWidth="1"/>
    <col min="1042" max="1042" width="8.5" style="143" customWidth="1"/>
    <col min="1043" max="1043" width="9.75" style="143" customWidth="1"/>
    <col min="1044" max="1044" width="9.875" style="143" bestFit="1" customWidth="1"/>
    <col min="1045" max="1280" width="9" style="143"/>
    <col min="1281" max="1281" width="23.375" style="143" customWidth="1"/>
    <col min="1282" max="1286" width="0" style="143" hidden="1" customWidth="1"/>
    <col min="1287" max="1287" width="7.625" style="143" bestFit="1" customWidth="1"/>
    <col min="1288" max="1288" width="6.375" style="143" bestFit="1" customWidth="1"/>
    <col min="1289" max="1295" width="0" style="143" hidden="1" customWidth="1"/>
    <col min="1296" max="1297" width="14.875" style="143" customWidth="1"/>
    <col min="1298" max="1298" width="8.5" style="143" customWidth="1"/>
    <col min="1299" max="1299" width="9.75" style="143" customWidth="1"/>
    <col min="1300" max="1300" width="9.875" style="143" bestFit="1" customWidth="1"/>
    <col min="1301" max="1536" width="9" style="143"/>
    <col min="1537" max="1537" width="23.375" style="143" customWidth="1"/>
    <col min="1538" max="1542" width="0" style="143" hidden="1" customWidth="1"/>
    <col min="1543" max="1543" width="7.625" style="143" bestFit="1" customWidth="1"/>
    <col min="1544" max="1544" width="6.375" style="143" bestFit="1" customWidth="1"/>
    <col min="1545" max="1551" width="0" style="143" hidden="1" customWidth="1"/>
    <col min="1552" max="1553" width="14.875" style="143" customWidth="1"/>
    <col min="1554" max="1554" width="8.5" style="143" customWidth="1"/>
    <col min="1555" max="1555" width="9.75" style="143" customWidth="1"/>
    <col min="1556" max="1556" width="9.875" style="143" bestFit="1" customWidth="1"/>
    <col min="1557" max="1792" width="9" style="143"/>
    <col min="1793" max="1793" width="23.375" style="143" customWidth="1"/>
    <col min="1794" max="1798" width="0" style="143" hidden="1" customWidth="1"/>
    <col min="1799" max="1799" width="7.625" style="143" bestFit="1" customWidth="1"/>
    <col min="1800" max="1800" width="6.375" style="143" bestFit="1" customWidth="1"/>
    <col min="1801" max="1807" width="0" style="143" hidden="1" customWidth="1"/>
    <col min="1808" max="1809" width="14.875" style="143" customWidth="1"/>
    <col min="1810" max="1810" width="8.5" style="143" customWidth="1"/>
    <col min="1811" max="1811" width="9.75" style="143" customWidth="1"/>
    <col min="1812" max="1812" width="9.875" style="143" bestFit="1" customWidth="1"/>
    <col min="1813" max="2048" width="9" style="143"/>
    <col min="2049" max="2049" width="23.375" style="143" customWidth="1"/>
    <col min="2050" max="2054" width="0" style="143" hidden="1" customWidth="1"/>
    <col min="2055" max="2055" width="7.625" style="143" bestFit="1" customWidth="1"/>
    <col min="2056" max="2056" width="6.375" style="143" bestFit="1" customWidth="1"/>
    <col min="2057" max="2063" width="0" style="143" hidden="1" customWidth="1"/>
    <col min="2064" max="2065" width="14.875" style="143" customWidth="1"/>
    <col min="2066" max="2066" width="8.5" style="143" customWidth="1"/>
    <col min="2067" max="2067" width="9.75" style="143" customWidth="1"/>
    <col min="2068" max="2068" width="9.875" style="143" bestFit="1" customWidth="1"/>
    <col min="2069" max="2304" width="9" style="143"/>
    <col min="2305" max="2305" width="23.375" style="143" customWidth="1"/>
    <col min="2306" max="2310" width="0" style="143" hidden="1" customWidth="1"/>
    <col min="2311" max="2311" width="7.625" style="143" bestFit="1" customWidth="1"/>
    <col min="2312" max="2312" width="6.375" style="143" bestFit="1" customWidth="1"/>
    <col min="2313" max="2319" width="0" style="143" hidden="1" customWidth="1"/>
    <col min="2320" max="2321" width="14.875" style="143" customWidth="1"/>
    <col min="2322" max="2322" width="8.5" style="143" customWidth="1"/>
    <col min="2323" max="2323" width="9.75" style="143" customWidth="1"/>
    <col min="2324" max="2324" width="9.875" style="143" bestFit="1" customWidth="1"/>
    <col min="2325" max="2560" width="9" style="143"/>
    <col min="2561" max="2561" width="23.375" style="143" customWidth="1"/>
    <col min="2562" max="2566" width="0" style="143" hidden="1" customWidth="1"/>
    <col min="2567" max="2567" width="7.625" style="143" bestFit="1" customWidth="1"/>
    <col min="2568" max="2568" width="6.375" style="143" bestFit="1" customWidth="1"/>
    <col min="2569" max="2575" width="0" style="143" hidden="1" customWidth="1"/>
    <col min="2576" max="2577" width="14.875" style="143" customWidth="1"/>
    <col min="2578" max="2578" width="8.5" style="143" customWidth="1"/>
    <col min="2579" max="2579" width="9.75" style="143" customWidth="1"/>
    <col min="2580" max="2580" width="9.875" style="143" bestFit="1" customWidth="1"/>
    <col min="2581" max="2816" width="9" style="143"/>
    <col min="2817" max="2817" width="23.375" style="143" customWidth="1"/>
    <col min="2818" max="2822" width="0" style="143" hidden="1" customWidth="1"/>
    <col min="2823" max="2823" width="7.625" style="143" bestFit="1" customWidth="1"/>
    <col min="2824" max="2824" width="6.375" style="143" bestFit="1" customWidth="1"/>
    <col min="2825" max="2831" width="0" style="143" hidden="1" customWidth="1"/>
    <col min="2832" max="2833" width="14.875" style="143" customWidth="1"/>
    <col min="2834" max="2834" width="8.5" style="143" customWidth="1"/>
    <col min="2835" max="2835" width="9.75" style="143" customWidth="1"/>
    <col min="2836" max="2836" width="9.875" style="143" bestFit="1" customWidth="1"/>
    <col min="2837" max="3072" width="9" style="143"/>
    <col min="3073" max="3073" width="23.375" style="143" customWidth="1"/>
    <col min="3074" max="3078" width="0" style="143" hidden="1" customWidth="1"/>
    <col min="3079" max="3079" width="7.625" style="143" bestFit="1" customWidth="1"/>
    <col min="3080" max="3080" width="6.375" style="143" bestFit="1" customWidth="1"/>
    <col min="3081" max="3087" width="0" style="143" hidden="1" customWidth="1"/>
    <col min="3088" max="3089" width="14.875" style="143" customWidth="1"/>
    <col min="3090" max="3090" width="8.5" style="143" customWidth="1"/>
    <col min="3091" max="3091" width="9.75" style="143" customWidth="1"/>
    <col min="3092" max="3092" width="9.875" style="143" bestFit="1" customWidth="1"/>
    <col min="3093" max="3328" width="9" style="143"/>
    <col min="3329" max="3329" width="23.375" style="143" customWidth="1"/>
    <col min="3330" max="3334" width="0" style="143" hidden="1" customWidth="1"/>
    <col min="3335" max="3335" width="7.625" style="143" bestFit="1" customWidth="1"/>
    <col min="3336" max="3336" width="6.375" style="143" bestFit="1" customWidth="1"/>
    <col min="3337" max="3343" width="0" style="143" hidden="1" customWidth="1"/>
    <col min="3344" max="3345" width="14.875" style="143" customWidth="1"/>
    <col min="3346" max="3346" width="8.5" style="143" customWidth="1"/>
    <col min="3347" max="3347" width="9.75" style="143" customWidth="1"/>
    <col min="3348" max="3348" width="9.875" style="143" bestFit="1" customWidth="1"/>
    <col min="3349" max="3584" width="9" style="143"/>
    <col min="3585" max="3585" width="23.375" style="143" customWidth="1"/>
    <col min="3586" max="3590" width="0" style="143" hidden="1" customWidth="1"/>
    <col min="3591" max="3591" width="7.625" style="143" bestFit="1" customWidth="1"/>
    <col min="3592" max="3592" width="6.375" style="143" bestFit="1" customWidth="1"/>
    <col min="3593" max="3599" width="0" style="143" hidden="1" customWidth="1"/>
    <col min="3600" max="3601" width="14.875" style="143" customWidth="1"/>
    <col min="3602" max="3602" width="8.5" style="143" customWidth="1"/>
    <col min="3603" max="3603" width="9.75" style="143" customWidth="1"/>
    <col min="3604" max="3604" width="9.875" style="143" bestFit="1" customWidth="1"/>
    <col min="3605" max="3840" width="9" style="143"/>
    <col min="3841" max="3841" width="23.375" style="143" customWidth="1"/>
    <col min="3842" max="3846" width="0" style="143" hidden="1" customWidth="1"/>
    <col min="3847" max="3847" width="7.625" style="143" bestFit="1" customWidth="1"/>
    <col min="3848" max="3848" width="6.375" style="143" bestFit="1" customWidth="1"/>
    <col min="3849" max="3855" width="0" style="143" hidden="1" customWidth="1"/>
    <col min="3856" max="3857" width="14.875" style="143" customWidth="1"/>
    <col min="3858" max="3858" width="8.5" style="143" customWidth="1"/>
    <col min="3859" max="3859" width="9.75" style="143" customWidth="1"/>
    <col min="3860" max="3860" width="9.875" style="143" bestFit="1" customWidth="1"/>
    <col min="3861" max="4096" width="9" style="143"/>
    <col min="4097" max="4097" width="23.375" style="143" customWidth="1"/>
    <col min="4098" max="4102" width="0" style="143" hidden="1" customWidth="1"/>
    <col min="4103" max="4103" width="7.625" style="143" bestFit="1" customWidth="1"/>
    <col min="4104" max="4104" width="6.375" style="143" bestFit="1" customWidth="1"/>
    <col min="4105" max="4111" width="0" style="143" hidden="1" customWidth="1"/>
    <col min="4112" max="4113" width="14.875" style="143" customWidth="1"/>
    <col min="4114" max="4114" width="8.5" style="143" customWidth="1"/>
    <col min="4115" max="4115" width="9.75" style="143" customWidth="1"/>
    <col min="4116" max="4116" width="9.875" style="143" bestFit="1" customWidth="1"/>
    <col min="4117" max="4352" width="9" style="143"/>
    <col min="4353" max="4353" width="23.375" style="143" customWidth="1"/>
    <col min="4354" max="4358" width="0" style="143" hidden="1" customWidth="1"/>
    <col min="4359" max="4359" width="7.625" style="143" bestFit="1" customWidth="1"/>
    <col min="4360" max="4360" width="6.375" style="143" bestFit="1" customWidth="1"/>
    <col min="4361" max="4367" width="0" style="143" hidden="1" customWidth="1"/>
    <col min="4368" max="4369" width="14.875" style="143" customWidth="1"/>
    <col min="4370" max="4370" width="8.5" style="143" customWidth="1"/>
    <col min="4371" max="4371" width="9.75" style="143" customWidth="1"/>
    <col min="4372" max="4372" width="9.875" style="143" bestFit="1" customWidth="1"/>
    <col min="4373" max="4608" width="9" style="143"/>
    <col min="4609" max="4609" width="23.375" style="143" customWidth="1"/>
    <col min="4610" max="4614" width="0" style="143" hidden="1" customWidth="1"/>
    <col min="4615" max="4615" width="7.625" style="143" bestFit="1" customWidth="1"/>
    <col min="4616" max="4616" width="6.375" style="143" bestFit="1" customWidth="1"/>
    <col min="4617" max="4623" width="0" style="143" hidden="1" customWidth="1"/>
    <col min="4624" max="4625" width="14.875" style="143" customWidth="1"/>
    <col min="4626" max="4626" width="8.5" style="143" customWidth="1"/>
    <col min="4627" max="4627" width="9.75" style="143" customWidth="1"/>
    <col min="4628" max="4628" width="9.875" style="143" bestFit="1" customWidth="1"/>
    <col min="4629" max="4864" width="9" style="143"/>
    <col min="4865" max="4865" width="23.375" style="143" customWidth="1"/>
    <col min="4866" max="4870" width="0" style="143" hidden="1" customWidth="1"/>
    <col min="4871" max="4871" width="7.625" style="143" bestFit="1" customWidth="1"/>
    <col min="4872" max="4872" width="6.375" style="143" bestFit="1" customWidth="1"/>
    <col min="4873" max="4879" width="0" style="143" hidden="1" customWidth="1"/>
    <col min="4880" max="4881" width="14.875" style="143" customWidth="1"/>
    <col min="4882" max="4882" width="8.5" style="143" customWidth="1"/>
    <col min="4883" max="4883" width="9.75" style="143" customWidth="1"/>
    <col min="4884" max="4884" width="9.875" style="143" bestFit="1" customWidth="1"/>
    <col min="4885" max="5120" width="9" style="143"/>
    <col min="5121" max="5121" width="23.375" style="143" customWidth="1"/>
    <col min="5122" max="5126" width="0" style="143" hidden="1" customWidth="1"/>
    <col min="5127" max="5127" width="7.625" style="143" bestFit="1" customWidth="1"/>
    <col min="5128" max="5128" width="6.375" style="143" bestFit="1" customWidth="1"/>
    <col min="5129" max="5135" width="0" style="143" hidden="1" customWidth="1"/>
    <col min="5136" max="5137" width="14.875" style="143" customWidth="1"/>
    <col min="5138" max="5138" width="8.5" style="143" customWidth="1"/>
    <col min="5139" max="5139" width="9.75" style="143" customWidth="1"/>
    <col min="5140" max="5140" width="9.875" style="143" bestFit="1" customWidth="1"/>
    <col min="5141" max="5376" width="9" style="143"/>
    <col min="5377" max="5377" width="23.375" style="143" customWidth="1"/>
    <col min="5378" max="5382" width="0" style="143" hidden="1" customWidth="1"/>
    <col min="5383" max="5383" width="7.625" style="143" bestFit="1" customWidth="1"/>
    <col min="5384" max="5384" width="6.375" style="143" bestFit="1" customWidth="1"/>
    <col min="5385" max="5391" width="0" style="143" hidden="1" customWidth="1"/>
    <col min="5392" max="5393" width="14.875" style="143" customWidth="1"/>
    <col min="5394" max="5394" width="8.5" style="143" customWidth="1"/>
    <col min="5395" max="5395" width="9.75" style="143" customWidth="1"/>
    <col min="5396" max="5396" width="9.875" style="143" bestFit="1" customWidth="1"/>
    <col min="5397" max="5632" width="9" style="143"/>
    <col min="5633" max="5633" width="23.375" style="143" customWidth="1"/>
    <col min="5634" max="5638" width="0" style="143" hidden="1" customWidth="1"/>
    <col min="5639" max="5639" width="7.625" style="143" bestFit="1" customWidth="1"/>
    <col min="5640" max="5640" width="6.375" style="143" bestFit="1" customWidth="1"/>
    <col min="5641" max="5647" width="0" style="143" hidden="1" customWidth="1"/>
    <col min="5648" max="5649" width="14.875" style="143" customWidth="1"/>
    <col min="5650" max="5650" width="8.5" style="143" customWidth="1"/>
    <col min="5651" max="5651" width="9.75" style="143" customWidth="1"/>
    <col min="5652" max="5652" width="9.875" style="143" bestFit="1" customWidth="1"/>
    <col min="5653" max="5888" width="9" style="143"/>
    <col min="5889" max="5889" width="23.375" style="143" customWidth="1"/>
    <col min="5890" max="5894" width="0" style="143" hidden="1" customWidth="1"/>
    <col min="5895" max="5895" width="7.625" style="143" bestFit="1" customWidth="1"/>
    <col min="5896" max="5896" width="6.375" style="143" bestFit="1" customWidth="1"/>
    <col min="5897" max="5903" width="0" style="143" hidden="1" customWidth="1"/>
    <col min="5904" max="5905" width="14.875" style="143" customWidth="1"/>
    <col min="5906" max="5906" width="8.5" style="143" customWidth="1"/>
    <col min="5907" max="5907" width="9.75" style="143" customWidth="1"/>
    <col min="5908" max="5908" width="9.875" style="143" bestFit="1" customWidth="1"/>
    <col min="5909" max="6144" width="9" style="143"/>
    <col min="6145" max="6145" width="23.375" style="143" customWidth="1"/>
    <col min="6146" max="6150" width="0" style="143" hidden="1" customWidth="1"/>
    <col min="6151" max="6151" width="7.625" style="143" bestFit="1" customWidth="1"/>
    <col min="6152" max="6152" width="6.375" style="143" bestFit="1" customWidth="1"/>
    <col min="6153" max="6159" width="0" style="143" hidden="1" customWidth="1"/>
    <col min="6160" max="6161" width="14.875" style="143" customWidth="1"/>
    <col min="6162" max="6162" width="8.5" style="143" customWidth="1"/>
    <col min="6163" max="6163" width="9.75" style="143" customWidth="1"/>
    <col min="6164" max="6164" width="9.875" style="143" bestFit="1" customWidth="1"/>
    <col min="6165" max="6400" width="9" style="143"/>
    <col min="6401" max="6401" width="23.375" style="143" customWidth="1"/>
    <col min="6402" max="6406" width="0" style="143" hidden="1" customWidth="1"/>
    <col min="6407" max="6407" width="7.625" style="143" bestFit="1" customWidth="1"/>
    <col min="6408" max="6408" width="6.375" style="143" bestFit="1" customWidth="1"/>
    <col min="6409" max="6415" width="0" style="143" hidden="1" customWidth="1"/>
    <col min="6416" max="6417" width="14.875" style="143" customWidth="1"/>
    <col min="6418" max="6418" width="8.5" style="143" customWidth="1"/>
    <col min="6419" max="6419" width="9.75" style="143" customWidth="1"/>
    <col min="6420" max="6420" width="9.875" style="143" bestFit="1" customWidth="1"/>
    <col min="6421" max="6656" width="9" style="143"/>
    <col min="6657" max="6657" width="23.375" style="143" customWidth="1"/>
    <col min="6658" max="6662" width="0" style="143" hidden="1" customWidth="1"/>
    <col min="6663" max="6663" width="7.625" style="143" bestFit="1" customWidth="1"/>
    <col min="6664" max="6664" width="6.375" style="143" bestFit="1" customWidth="1"/>
    <col min="6665" max="6671" width="0" style="143" hidden="1" customWidth="1"/>
    <col min="6672" max="6673" width="14.875" style="143" customWidth="1"/>
    <col min="6674" max="6674" width="8.5" style="143" customWidth="1"/>
    <col min="6675" max="6675" width="9.75" style="143" customWidth="1"/>
    <col min="6676" max="6676" width="9.875" style="143" bestFit="1" customWidth="1"/>
    <col min="6677" max="6912" width="9" style="143"/>
    <col min="6913" max="6913" width="23.375" style="143" customWidth="1"/>
    <col min="6914" max="6918" width="0" style="143" hidden="1" customWidth="1"/>
    <col min="6919" max="6919" width="7.625" style="143" bestFit="1" customWidth="1"/>
    <col min="6920" max="6920" width="6.375" style="143" bestFit="1" customWidth="1"/>
    <col min="6921" max="6927" width="0" style="143" hidden="1" customWidth="1"/>
    <col min="6928" max="6929" width="14.875" style="143" customWidth="1"/>
    <col min="6930" max="6930" width="8.5" style="143" customWidth="1"/>
    <col min="6931" max="6931" width="9.75" style="143" customWidth="1"/>
    <col min="6932" max="6932" width="9.875" style="143" bestFit="1" customWidth="1"/>
    <col min="6933" max="7168" width="9" style="143"/>
    <col min="7169" max="7169" width="23.375" style="143" customWidth="1"/>
    <col min="7170" max="7174" width="0" style="143" hidden="1" customWidth="1"/>
    <col min="7175" max="7175" width="7.625" style="143" bestFit="1" customWidth="1"/>
    <col min="7176" max="7176" width="6.375" style="143" bestFit="1" customWidth="1"/>
    <col min="7177" max="7183" width="0" style="143" hidden="1" customWidth="1"/>
    <col min="7184" max="7185" width="14.875" style="143" customWidth="1"/>
    <col min="7186" max="7186" width="8.5" style="143" customWidth="1"/>
    <col min="7187" max="7187" width="9.75" style="143" customWidth="1"/>
    <col min="7188" max="7188" width="9.875" style="143" bestFit="1" customWidth="1"/>
    <col min="7189" max="7424" width="9" style="143"/>
    <col min="7425" max="7425" width="23.375" style="143" customWidth="1"/>
    <col min="7426" max="7430" width="0" style="143" hidden="1" customWidth="1"/>
    <col min="7431" max="7431" width="7.625" style="143" bestFit="1" customWidth="1"/>
    <col min="7432" max="7432" width="6.375" style="143" bestFit="1" customWidth="1"/>
    <col min="7433" max="7439" width="0" style="143" hidden="1" customWidth="1"/>
    <col min="7440" max="7441" width="14.875" style="143" customWidth="1"/>
    <col min="7442" max="7442" width="8.5" style="143" customWidth="1"/>
    <col min="7443" max="7443" width="9.75" style="143" customWidth="1"/>
    <col min="7444" max="7444" width="9.875" style="143" bestFit="1" customWidth="1"/>
    <col min="7445" max="7680" width="9" style="143"/>
    <col min="7681" max="7681" width="23.375" style="143" customWidth="1"/>
    <col min="7682" max="7686" width="0" style="143" hidden="1" customWidth="1"/>
    <col min="7687" max="7687" width="7.625" style="143" bestFit="1" customWidth="1"/>
    <col min="7688" max="7688" width="6.375" style="143" bestFit="1" customWidth="1"/>
    <col min="7689" max="7695" width="0" style="143" hidden="1" customWidth="1"/>
    <col min="7696" max="7697" width="14.875" style="143" customWidth="1"/>
    <col min="7698" max="7698" width="8.5" style="143" customWidth="1"/>
    <col min="7699" max="7699" width="9.75" style="143" customWidth="1"/>
    <col min="7700" max="7700" width="9.875" style="143" bestFit="1" customWidth="1"/>
    <col min="7701" max="7936" width="9" style="143"/>
    <col min="7937" max="7937" width="23.375" style="143" customWidth="1"/>
    <col min="7938" max="7942" width="0" style="143" hidden="1" customWidth="1"/>
    <col min="7943" max="7943" width="7.625" style="143" bestFit="1" customWidth="1"/>
    <col min="7944" max="7944" width="6.375" style="143" bestFit="1" customWidth="1"/>
    <col min="7945" max="7951" width="0" style="143" hidden="1" customWidth="1"/>
    <col min="7952" max="7953" width="14.875" style="143" customWidth="1"/>
    <col min="7954" max="7954" width="8.5" style="143" customWidth="1"/>
    <col min="7955" max="7955" width="9.75" style="143" customWidth="1"/>
    <col min="7956" max="7956" width="9.875" style="143" bestFit="1" customWidth="1"/>
    <col min="7957" max="8192" width="9" style="143"/>
    <col min="8193" max="8193" width="23.375" style="143" customWidth="1"/>
    <col min="8194" max="8198" width="0" style="143" hidden="1" customWidth="1"/>
    <col min="8199" max="8199" width="7.625" style="143" bestFit="1" customWidth="1"/>
    <col min="8200" max="8200" width="6.375" style="143" bestFit="1" customWidth="1"/>
    <col min="8201" max="8207" width="0" style="143" hidden="1" customWidth="1"/>
    <col min="8208" max="8209" width="14.875" style="143" customWidth="1"/>
    <col min="8210" max="8210" width="8.5" style="143" customWidth="1"/>
    <col min="8211" max="8211" width="9.75" style="143" customWidth="1"/>
    <col min="8212" max="8212" width="9.875" style="143" bestFit="1" customWidth="1"/>
    <col min="8213" max="8448" width="9" style="143"/>
    <col min="8449" max="8449" width="23.375" style="143" customWidth="1"/>
    <col min="8450" max="8454" width="0" style="143" hidden="1" customWidth="1"/>
    <col min="8455" max="8455" width="7.625" style="143" bestFit="1" customWidth="1"/>
    <col min="8456" max="8456" width="6.375" style="143" bestFit="1" customWidth="1"/>
    <col min="8457" max="8463" width="0" style="143" hidden="1" customWidth="1"/>
    <col min="8464" max="8465" width="14.875" style="143" customWidth="1"/>
    <col min="8466" max="8466" width="8.5" style="143" customWidth="1"/>
    <col min="8467" max="8467" width="9.75" style="143" customWidth="1"/>
    <col min="8468" max="8468" width="9.875" style="143" bestFit="1" customWidth="1"/>
    <col min="8469" max="8704" width="9" style="143"/>
    <col min="8705" max="8705" width="23.375" style="143" customWidth="1"/>
    <col min="8706" max="8710" width="0" style="143" hidden="1" customWidth="1"/>
    <col min="8711" max="8711" width="7.625" style="143" bestFit="1" customWidth="1"/>
    <col min="8712" max="8712" width="6.375" style="143" bestFit="1" customWidth="1"/>
    <col min="8713" max="8719" width="0" style="143" hidden="1" customWidth="1"/>
    <col min="8720" max="8721" width="14.875" style="143" customWidth="1"/>
    <col min="8722" max="8722" width="8.5" style="143" customWidth="1"/>
    <col min="8723" max="8723" width="9.75" style="143" customWidth="1"/>
    <col min="8724" max="8724" width="9.875" style="143" bestFit="1" customWidth="1"/>
    <col min="8725" max="8960" width="9" style="143"/>
    <col min="8961" max="8961" width="23.375" style="143" customWidth="1"/>
    <col min="8962" max="8966" width="0" style="143" hidden="1" customWidth="1"/>
    <col min="8967" max="8967" width="7.625" style="143" bestFit="1" customWidth="1"/>
    <col min="8968" max="8968" width="6.375" style="143" bestFit="1" customWidth="1"/>
    <col min="8969" max="8975" width="0" style="143" hidden="1" customWidth="1"/>
    <col min="8976" max="8977" width="14.875" style="143" customWidth="1"/>
    <col min="8978" max="8978" width="8.5" style="143" customWidth="1"/>
    <col min="8979" max="8979" width="9.75" style="143" customWidth="1"/>
    <col min="8980" max="8980" width="9.875" style="143" bestFit="1" customWidth="1"/>
    <col min="8981" max="9216" width="9" style="143"/>
    <col min="9217" max="9217" width="23.375" style="143" customWidth="1"/>
    <col min="9218" max="9222" width="0" style="143" hidden="1" customWidth="1"/>
    <col min="9223" max="9223" width="7.625" style="143" bestFit="1" customWidth="1"/>
    <col min="9224" max="9224" width="6.375" style="143" bestFit="1" customWidth="1"/>
    <col min="9225" max="9231" width="0" style="143" hidden="1" customWidth="1"/>
    <col min="9232" max="9233" width="14.875" style="143" customWidth="1"/>
    <col min="9234" max="9234" width="8.5" style="143" customWidth="1"/>
    <col min="9235" max="9235" width="9.75" style="143" customWidth="1"/>
    <col min="9236" max="9236" width="9.875" style="143" bestFit="1" customWidth="1"/>
    <col min="9237" max="9472" width="9" style="143"/>
    <col min="9473" max="9473" width="23.375" style="143" customWidth="1"/>
    <col min="9474" max="9478" width="0" style="143" hidden="1" customWidth="1"/>
    <col min="9479" max="9479" width="7.625" style="143" bestFit="1" customWidth="1"/>
    <col min="9480" max="9480" width="6.375" style="143" bestFit="1" customWidth="1"/>
    <col min="9481" max="9487" width="0" style="143" hidden="1" customWidth="1"/>
    <col min="9488" max="9489" width="14.875" style="143" customWidth="1"/>
    <col min="9490" max="9490" width="8.5" style="143" customWidth="1"/>
    <col min="9491" max="9491" width="9.75" style="143" customWidth="1"/>
    <col min="9492" max="9492" width="9.875" style="143" bestFit="1" customWidth="1"/>
    <col min="9493" max="9728" width="9" style="143"/>
    <col min="9729" max="9729" width="23.375" style="143" customWidth="1"/>
    <col min="9730" max="9734" width="0" style="143" hidden="1" customWidth="1"/>
    <col min="9735" max="9735" width="7.625" style="143" bestFit="1" customWidth="1"/>
    <col min="9736" max="9736" width="6.375" style="143" bestFit="1" customWidth="1"/>
    <col min="9737" max="9743" width="0" style="143" hidden="1" customWidth="1"/>
    <col min="9744" max="9745" width="14.875" style="143" customWidth="1"/>
    <col min="9746" max="9746" width="8.5" style="143" customWidth="1"/>
    <col min="9747" max="9747" width="9.75" style="143" customWidth="1"/>
    <col min="9748" max="9748" width="9.875" style="143" bestFit="1" customWidth="1"/>
    <col min="9749" max="9984" width="9" style="143"/>
    <col min="9985" max="9985" width="23.375" style="143" customWidth="1"/>
    <col min="9986" max="9990" width="0" style="143" hidden="1" customWidth="1"/>
    <col min="9991" max="9991" width="7.625" style="143" bestFit="1" customWidth="1"/>
    <col min="9992" max="9992" width="6.375" style="143" bestFit="1" customWidth="1"/>
    <col min="9993" max="9999" width="0" style="143" hidden="1" customWidth="1"/>
    <col min="10000" max="10001" width="14.875" style="143" customWidth="1"/>
    <col min="10002" max="10002" width="8.5" style="143" customWidth="1"/>
    <col min="10003" max="10003" width="9.75" style="143" customWidth="1"/>
    <col min="10004" max="10004" width="9.875" style="143" bestFit="1" customWidth="1"/>
    <col min="10005" max="10240" width="9" style="143"/>
    <col min="10241" max="10241" width="23.375" style="143" customWidth="1"/>
    <col min="10242" max="10246" width="0" style="143" hidden="1" customWidth="1"/>
    <col min="10247" max="10247" width="7.625" style="143" bestFit="1" customWidth="1"/>
    <col min="10248" max="10248" width="6.375" style="143" bestFit="1" customWidth="1"/>
    <col min="10249" max="10255" width="0" style="143" hidden="1" customWidth="1"/>
    <col min="10256" max="10257" width="14.875" style="143" customWidth="1"/>
    <col min="10258" max="10258" width="8.5" style="143" customWidth="1"/>
    <col min="10259" max="10259" width="9.75" style="143" customWidth="1"/>
    <col min="10260" max="10260" width="9.875" style="143" bestFit="1" customWidth="1"/>
    <col min="10261" max="10496" width="9" style="143"/>
    <col min="10497" max="10497" width="23.375" style="143" customWidth="1"/>
    <col min="10498" max="10502" width="0" style="143" hidden="1" customWidth="1"/>
    <col min="10503" max="10503" width="7.625" style="143" bestFit="1" customWidth="1"/>
    <col min="10504" max="10504" width="6.375" style="143" bestFit="1" customWidth="1"/>
    <col min="10505" max="10511" width="0" style="143" hidden="1" customWidth="1"/>
    <col min="10512" max="10513" width="14.875" style="143" customWidth="1"/>
    <col min="10514" max="10514" width="8.5" style="143" customWidth="1"/>
    <col min="10515" max="10515" width="9.75" style="143" customWidth="1"/>
    <col min="10516" max="10516" width="9.875" style="143" bestFit="1" customWidth="1"/>
    <col min="10517" max="10752" width="9" style="143"/>
    <col min="10753" max="10753" width="23.375" style="143" customWidth="1"/>
    <col min="10754" max="10758" width="0" style="143" hidden="1" customWidth="1"/>
    <col min="10759" max="10759" width="7.625" style="143" bestFit="1" customWidth="1"/>
    <col min="10760" max="10760" width="6.375" style="143" bestFit="1" customWidth="1"/>
    <col min="10761" max="10767" width="0" style="143" hidden="1" customWidth="1"/>
    <col min="10768" max="10769" width="14.875" style="143" customWidth="1"/>
    <col min="10770" max="10770" width="8.5" style="143" customWidth="1"/>
    <col min="10771" max="10771" width="9.75" style="143" customWidth="1"/>
    <col min="10772" max="10772" width="9.875" style="143" bestFit="1" customWidth="1"/>
    <col min="10773" max="11008" width="9" style="143"/>
    <col min="11009" max="11009" width="23.375" style="143" customWidth="1"/>
    <col min="11010" max="11014" width="0" style="143" hidden="1" customWidth="1"/>
    <col min="11015" max="11015" width="7.625" style="143" bestFit="1" customWidth="1"/>
    <col min="11016" max="11016" width="6.375" style="143" bestFit="1" customWidth="1"/>
    <col min="11017" max="11023" width="0" style="143" hidden="1" customWidth="1"/>
    <col min="11024" max="11025" width="14.875" style="143" customWidth="1"/>
    <col min="11026" max="11026" width="8.5" style="143" customWidth="1"/>
    <col min="11027" max="11027" width="9.75" style="143" customWidth="1"/>
    <col min="11028" max="11028" width="9.875" style="143" bestFit="1" customWidth="1"/>
    <col min="11029" max="11264" width="9" style="143"/>
    <col min="11265" max="11265" width="23.375" style="143" customWidth="1"/>
    <col min="11266" max="11270" width="0" style="143" hidden="1" customWidth="1"/>
    <col min="11271" max="11271" width="7.625" style="143" bestFit="1" customWidth="1"/>
    <col min="11272" max="11272" width="6.375" style="143" bestFit="1" customWidth="1"/>
    <col min="11273" max="11279" width="0" style="143" hidden="1" customWidth="1"/>
    <col min="11280" max="11281" width="14.875" style="143" customWidth="1"/>
    <col min="11282" max="11282" width="8.5" style="143" customWidth="1"/>
    <col min="11283" max="11283" width="9.75" style="143" customWidth="1"/>
    <col min="11284" max="11284" width="9.875" style="143" bestFit="1" customWidth="1"/>
    <col min="11285" max="11520" width="9" style="143"/>
    <col min="11521" max="11521" width="23.375" style="143" customWidth="1"/>
    <col min="11522" max="11526" width="0" style="143" hidden="1" customWidth="1"/>
    <col min="11527" max="11527" width="7.625" style="143" bestFit="1" customWidth="1"/>
    <col min="11528" max="11528" width="6.375" style="143" bestFit="1" customWidth="1"/>
    <col min="11529" max="11535" width="0" style="143" hidden="1" customWidth="1"/>
    <col min="11536" max="11537" width="14.875" style="143" customWidth="1"/>
    <col min="11538" max="11538" width="8.5" style="143" customWidth="1"/>
    <col min="11539" max="11539" width="9.75" style="143" customWidth="1"/>
    <col min="11540" max="11540" width="9.875" style="143" bestFit="1" customWidth="1"/>
    <col min="11541" max="11776" width="9" style="143"/>
    <col min="11777" max="11777" width="23.375" style="143" customWidth="1"/>
    <col min="11778" max="11782" width="0" style="143" hidden="1" customWidth="1"/>
    <col min="11783" max="11783" width="7.625" style="143" bestFit="1" customWidth="1"/>
    <col min="11784" max="11784" width="6.375" style="143" bestFit="1" customWidth="1"/>
    <col min="11785" max="11791" width="0" style="143" hidden="1" customWidth="1"/>
    <col min="11792" max="11793" width="14.875" style="143" customWidth="1"/>
    <col min="11794" max="11794" width="8.5" style="143" customWidth="1"/>
    <col min="11795" max="11795" width="9.75" style="143" customWidth="1"/>
    <col min="11796" max="11796" width="9.875" style="143" bestFit="1" customWidth="1"/>
    <col min="11797" max="12032" width="9" style="143"/>
    <col min="12033" max="12033" width="23.375" style="143" customWidth="1"/>
    <col min="12034" max="12038" width="0" style="143" hidden="1" customWidth="1"/>
    <col min="12039" max="12039" width="7.625" style="143" bestFit="1" customWidth="1"/>
    <col min="12040" max="12040" width="6.375" style="143" bestFit="1" customWidth="1"/>
    <col min="12041" max="12047" width="0" style="143" hidden="1" customWidth="1"/>
    <col min="12048" max="12049" width="14.875" style="143" customWidth="1"/>
    <col min="12050" max="12050" width="8.5" style="143" customWidth="1"/>
    <col min="12051" max="12051" width="9.75" style="143" customWidth="1"/>
    <col min="12052" max="12052" width="9.875" style="143" bestFit="1" customWidth="1"/>
    <col min="12053" max="12288" width="9" style="143"/>
    <col min="12289" max="12289" width="23.375" style="143" customWidth="1"/>
    <col min="12290" max="12294" width="0" style="143" hidden="1" customWidth="1"/>
    <col min="12295" max="12295" width="7.625" style="143" bestFit="1" customWidth="1"/>
    <col min="12296" max="12296" width="6.375" style="143" bestFit="1" customWidth="1"/>
    <col min="12297" max="12303" width="0" style="143" hidden="1" customWidth="1"/>
    <col min="12304" max="12305" width="14.875" style="143" customWidth="1"/>
    <col min="12306" max="12306" width="8.5" style="143" customWidth="1"/>
    <col min="12307" max="12307" width="9.75" style="143" customWidth="1"/>
    <col min="12308" max="12308" width="9.875" style="143" bestFit="1" customWidth="1"/>
    <col min="12309" max="12544" width="9" style="143"/>
    <col min="12545" max="12545" width="23.375" style="143" customWidth="1"/>
    <col min="12546" max="12550" width="0" style="143" hidden="1" customWidth="1"/>
    <col min="12551" max="12551" width="7.625" style="143" bestFit="1" customWidth="1"/>
    <col min="12552" max="12552" width="6.375" style="143" bestFit="1" customWidth="1"/>
    <col min="12553" max="12559" width="0" style="143" hidden="1" customWidth="1"/>
    <col min="12560" max="12561" width="14.875" style="143" customWidth="1"/>
    <col min="12562" max="12562" width="8.5" style="143" customWidth="1"/>
    <col min="12563" max="12563" width="9.75" style="143" customWidth="1"/>
    <col min="12564" max="12564" width="9.875" style="143" bestFit="1" customWidth="1"/>
    <col min="12565" max="12800" width="9" style="143"/>
    <col min="12801" max="12801" width="23.375" style="143" customWidth="1"/>
    <col min="12802" max="12806" width="0" style="143" hidden="1" customWidth="1"/>
    <col min="12807" max="12807" width="7.625" style="143" bestFit="1" customWidth="1"/>
    <col min="12808" max="12808" width="6.375" style="143" bestFit="1" customWidth="1"/>
    <col min="12809" max="12815" width="0" style="143" hidden="1" customWidth="1"/>
    <col min="12816" max="12817" width="14.875" style="143" customWidth="1"/>
    <col min="12818" max="12818" width="8.5" style="143" customWidth="1"/>
    <col min="12819" max="12819" width="9.75" style="143" customWidth="1"/>
    <col min="12820" max="12820" width="9.875" style="143" bestFit="1" customWidth="1"/>
    <col min="12821" max="13056" width="9" style="143"/>
    <col min="13057" max="13057" width="23.375" style="143" customWidth="1"/>
    <col min="13058" max="13062" width="0" style="143" hidden="1" customWidth="1"/>
    <col min="13063" max="13063" width="7.625" style="143" bestFit="1" customWidth="1"/>
    <col min="13064" max="13064" width="6.375" style="143" bestFit="1" customWidth="1"/>
    <col min="13065" max="13071" width="0" style="143" hidden="1" customWidth="1"/>
    <col min="13072" max="13073" width="14.875" style="143" customWidth="1"/>
    <col min="13074" max="13074" width="8.5" style="143" customWidth="1"/>
    <col min="13075" max="13075" width="9.75" style="143" customWidth="1"/>
    <col min="13076" max="13076" width="9.875" style="143" bestFit="1" customWidth="1"/>
    <col min="13077" max="13312" width="9" style="143"/>
    <col min="13313" max="13313" width="23.375" style="143" customWidth="1"/>
    <col min="13314" max="13318" width="0" style="143" hidden="1" customWidth="1"/>
    <col min="13319" max="13319" width="7.625" style="143" bestFit="1" customWidth="1"/>
    <col min="13320" max="13320" width="6.375" style="143" bestFit="1" customWidth="1"/>
    <col min="13321" max="13327" width="0" style="143" hidden="1" customWidth="1"/>
    <col min="13328" max="13329" width="14.875" style="143" customWidth="1"/>
    <col min="13330" max="13330" width="8.5" style="143" customWidth="1"/>
    <col min="13331" max="13331" width="9.75" style="143" customWidth="1"/>
    <col min="13332" max="13332" width="9.875" style="143" bestFit="1" customWidth="1"/>
    <col min="13333" max="13568" width="9" style="143"/>
    <col min="13569" max="13569" width="23.375" style="143" customWidth="1"/>
    <col min="13570" max="13574" width="0" style="143" hidden="1" customWidth="1"/>
    <col min="13575" max="13575" width="7.625" style="143" bestFit="1" customWidth="1"/>
    <col min="13576" max="13576" width="6.375" style="143" bestFit="1" customWidth="1"/>
    <col min="13577" max="13583" width="0" style="143" hidden="1" customWidth="1"/>
    <col min="13584" max="13585" width="14.875" style="143" customWidth="1"/>
    <col min="13586" max="13586" width="8.5" style="143" customWidth="1"/>
    <col min="13587" max="13587" width="9.75" style="143" customWidth="1"/>
    <col min="13588" max="13588" width="9.875" style="143" bestFit="1" customWidth="1"/>
    <col min="13589" max="13824" width="9" style="143"/>
    <col min="13825" max="13825" width="23.375" style="143" customWidth="1"/>
    <col min="13826" max="13830" width="0" style="143" hidden="1" customWidth="1"/>
    <col min="13831" max="13831" width="7.625" style="143" bestFit="1" customWidth="1"/>
    <col min="13832" max="13832" width="6.375" style="143" bestFit="1" customWidth="1"/>
    <col min="13833" max="13839" width="0" style="143" hidden="1" customWidth="1"/>
    <col min="13840" max="13841" width="14.875" style="143" customWidth="1"/>
    <col min="13842" max="13842" width="8.5" style="143" customWidth="1"/>
    <col min="13843" max="13843" width="9.75" style="143" customWidth="1"/>
    <col min="13844" max="13844" width="9.875" style="143" bestFit="1" customWidth="1"/>
    <col min="13845" max="14080" width="9" style="143"/>
    <col min="14081" max="14081" width="23.375" style="143" customWidth="1"/>
    <col min="14082" max="14086" width="0" style="143" hidden="1" customWidth="1"/>
    <col min="14087" max="14087" width="7.625" style="143" bestFit="1" customWidth="1"/>
    <col min="14088" max="14088" width="6.375" style="143" bestFit="1" customWidth="1"/>
    <col min="14089" max="14095" width="0" style="143" hidden="1" customWidth="1"/>
    <col min="14096" max="14097" width="14.875" style="143" customWidth="1"/>
    <col min="14098" max="14098" width="8.5" style="143" customWidth="1"/>
    <col min="14099" max="14099" width="9.75" style="143" customWidth="1"/>
    <col min="14100" max="14100" width="9.875" style="143" bestFit="1" customWidth="1"/>
    <col min="14101" max="14336" width="9" style="143"/>
    <col min="14337" max="14337" width="23.375" style="143" customWidth="1"/>
    <col min="14338" max="14342" width="0" style="143" hidden="1" customWidth="1"/>
    <col min="14343" max="14343" width="7.625" style="143" bestFit="1" customWidth="1"/>
    <col min="14344" max="14344" width="6.375" style="143" bestFit="1" customWidth="1"/>
    <col min="14345" max="14351" width="0" style="143" hidden="1" customWidth="1"/>
    <col min="14352" max="14353" width="14.875" style="143" customWidth="1"/>
    <col min="14354" max="14354" width="8.5" style="143" customWidth="1"/>
    <col min="14355" max="14355" width="9.75" style="143" customWidth="1"/>
    <col min="14356" max="14356" width="9.875" style="143" bestFit="1" customWidth="1"/>
    <col min="14357" max="14592" width="9" style="143"/>
    <col min="14593" max="14593" width="23.375" style="143" customWidth="1"/>
    <col min="14594" max="14598" width="0" style="143" hidden="1" customWidth="1"/>
    <col min="14599" max="14599" width="7.625" style="143" bestFit="1" customWidth="1"/>
    <col min="14600" max="14600" width="6.375" style="143" bestFit="1" customWidth="1"/>
    <col min="14601" max="14607" width="0" style="143" hidden="1" customWidth="1"/>
    <col min="14608" max="14609" width="14.875" style="143" customWidth="1"/>
    <col min="14610" max="14610" width="8.5" style="143" customWidth="1"/>
    <col min="14611" max="14611" width="9.75" style="143" customWidth="1"/>
    <col min="14612" max="14612" width="9.875" style="143" bestFit="1" customWidth="1"/>
    <col min="14613" max="14848" width="9" style="143"/>
    <col min="14849" max="14849" width="23.375" style="143" customWidth="1"/>
    <col min="14850" max="14854" width="0" style="143" hidden="1" customWidth="1"/>
    <col min="14855" max="14855" width="7.625" style="143" bestFit="1" customWidth="1"/>
    <col min="14856" max="14856" width="6.375" style="143" bestFit="1" customWidth="1"/>
    <col min="14857" max="14863" width="0" style="143" hidden="1" customWidth="1"/>
    <col min="14864" max="14865" width="14.875" style="143" customWidth="1"/>
    <col min="14866" max="14866" width="8.5" style="143" customWidth="1"/>
    <col min="14867" max="14867" width="9.75" style="143" customWidth="1"/>
    <col min="14868" max="14868" width="9.875" style="143" bestFit="1" customWidth="1"/>
    <col min="14869" max="15104" width="9" style="143"/>
    <col min="15105" max="15105" width="23.375" style="143" customWidth="1"/>
    <col min="15106" max="15110" width="0" style="143" hidden="1" customWidth="1"/>
    <col min="15111" max="15111" width="7.625" style="143" bestFit="1" customWidth="1"/>
    <col min="15112" max="15112" width="6.375" style="143" bestFit="1" customWidth="1"/>
    <col min="15113" max="15119" width="0" style="143" hidden="1" customWidth="1"/>
    <col min="15120" max="15121" width="14.875" style="143" customWidth="1"/>
    <col min="15122" max="15122" width="8.5" style="143" customWidth="1"/>
    <col min="15123" max="15123" width="9.75" style="143" customWidth="1"/>
    <col min="15124" max="15124" width="9.875" style="143" bestFit="1" customWidth="1"/>
    <col min="15125" max="15360" width="9" style="143"/>
    <col min="15361" max="15361" width="23.375" style="143" customWidth="1"/>
    <col min="15362" max="15366" width="0" style="143" hidden="1" customWidth="1"/>
    <col min="15367" max="15367" width="7.625" style="143" bestFit="1" customWidth="1"/>
    <col min="15368" max="15368" width="6.375" style="143" bestFit="1" customWidth="1"/>
    <col min="15369" max="15375" width="0" style="143" hidden="1" customWidth="1"/>
    <col min="15376" max="15377" width="14.875" style="143" customWidth="1"/>
    <col min="15378" max="15378" width="8.5" style="143" customWidth="1"/>
    <col min="15379" max="15379" width="9.75" style="143" customWidth="1"/>
    <col min="15380" max="15380" width="9.875" style="143" bestFit="1" customWidth="1"/>
    <col min="15381" max="15616" width="9" style="143"/>
    <col min="15617" max="15617" width="23.375" style="143" customWidth="1"/>
    <col min="15618" max="15622" width="0" style="143" hidden="1" customWidth="1"/>
    <col min="15623" max="15623" width="7.625" style="143" bestFit="1" customWidth="1"/>
    <col min="15624" max="15624" width="6.375" style="143" bestFit="1" customWidth="1"/>
    <col min="15625" max="15631" width="0" style="143" hidden="1" customWidth="1"/>
    <col min="15632" max="15633" width="14.875" style="143" customWidth="1"/>
    <col min="15634" max="15634" width="8.5" style="143" customWidth="1"/>
    <col min="15635" max="15635" width="9.75" style="143" customWidth="1"/>
    <col min="15636" max="15636" width="9.875" style="143" bestFit="1" customWidth="1"/>
    <col min="15637" max="15872" width="9" style="143"/>
    <col min="15873" max="15873" width="23.375" style="143" customWidth="1"/>
    <col min="15874" max="15878" width="0" style="143" hidden="1" customWidth="1"/>
    <col min="15879" max="15879" width="7.625" style="143" bestFit="1" customWidth="1"/>
    <col min="15880" max="15880" width="6.375" style="143" bestFit="1" customWidth="1"/>
    <col min="15881" max="15887" width="0" style="143" hidden="1" customWidth="1"/>
    <col min="15888" max="15889" width="14.875" style="143" customWidth="1"/>
    <col min="15890" max="15890" width="8.5" style="143" customWidth="1"/>
    <col min="15891" max="15891" width="9.75" style="143" customWidth="1"/>
    <col min="15892" max="15892" width="9.875" style="143" bestFit="1" customWidth="1"/>
    <col min="15893" max="16128" width="9" style="143"/>
    <col min="16129" max="16129" width="23.375" style="143" customWidth="1"/>
    <col min="16130" max="16134" width="0" style="143" hidden="1" customWidth="1"/>
    <col min="16135" max="16135" width="7.625" style="143" bestFit="1" customWidth="1"/>
    <col min="16136" max="16136" width="6.375" style="143" bestFit="1" customWidth="1"/>
    <col min="16137" max="16143" width="0" style="143" hidden="1" customWidth="1"/>
    <col min="16144" max="16145" width="14.875" style="143" customWidth="1"/>
    <col min="16146" max="16146" width="8.5" style="143" customWidth="1"/>
    <col min="16147" max="16147" width="9.75" style="143" customWidth="1"/>
    <col min="16148" max="16148" width="9.875" style="143" bestFit="1" customWidth="1"/>
    <col min="16149" max="16384" width="9" style="143"/>
  </cols>
  <sheetData>
    <row r="1" spans="1:37" s="116" customFormat="1" ht="26.25" x14ac:dyDescent="0.4">
      <c r="A1" s="314" t="s">
        <v>315</v>
      </c>
      <c r="B1" s="314"/>
      <c r="C1" s="314"/>
      <c r="D1" s="314"/>
      <c r="E1" s="314"/>
      <c r="F1" s="314"/>
      <c r="G1" s="314"/>
      <c r="H1" s="314"/>
      <c r="I1" s="314"/>
      <c r="J1" s="314"/>
      <c r="K1" s="314"/>
      <c r="L1" s="314"/>
      <c r="M1" s="314"/>
      <c r="N1" s="314"/>
      <c r="O1" s="314"/>
      <c r="P1" s="314"/>
      <c r="Q1" s="314"/>
      <c r="R1" s="314"/>
      <c r="S1" s="314"/>
      <c r="T1" s="314"/>
    </row>
    <row r="2" spans="1:37" s="116" customFormat="1" ht="26.25" x14ac:dyDescent="0.4">
      <c r="A2" s="117" t="s">
        <v>421</v>
      </c>
      <c r="B2" s="118"/>
      <c r="C2" s="118"/>
      <c r="D2" s="118"/>
      <c r="E2" s="118"/>
      <c r="F2" s="118"/>
      <c r="G2" s="188"/>
      <c r="H2" s="189"/>
      <c r="I2" s="190" t="s">
        <v>1</v>
      </c>
      <c r="J2" s="190"/>
      <c r="K2" s="190"/>
      <c r="L2" s="190"/>
      <c r="M2" s="190"/>
      <c r="N2" s="190"/>
      <c r="O2" s="190"/>
      <c r="P2" s="190"/>
      <c r="Q2" s="190"/>
      <c r="R2" s="191"/>
      <c r="S2" s="191"/>
      <c r="T2" s="192"/>
    </row>
    <row r="3" spans="1:37" s="184" customFormat="1" ht="21" x14ac:dyDescent="0.2">
      <c r="A3" s="316" t="s">
        <v>422</v>
      </c>
      <c r="B3" s="318" t="s">
        <v>2</v>
      </c>
      <c r="C3" s="318"/>
      <c r="D3" s="318"/>
      <c r="E3" s="318"/>
      <c r="F3" s="318"/>
      <c r="G3" s="318"/>
      <c r="H3" s="318"/>
      <c r="I3" s="318"/>
      <c r="J3" s="318" t="s">
        <v>2</v>
      </c>
      <c r="K3" s="318"/>
      <c r="L3" s="318"/>
      <c r="M3" s="318"/>
      <c r="N3" s="318"/>
      <c r="O3" s="318"/>
      <c r="P3" s="318"/>
      <c r="Q3" s="318"/>
      <c r="R3" s="322" t="s">
        <v>4</v>
      </c>
      <c r="S3" s="322"/>
      <c r="T3" s="322"/>
      <c r="U3" s="129"/>
      <c r="V3" s="129"/>
      <c r="W3" s="129"/>
      <c r="X3" s="129"/>
      <c r="Y3" s="129"/>
      <c r="Z3" s="129"/>
      <c r="AA3" s="129"/>
      <c r="AB3" s="129"/>
      <c r="AC3" s="129"/>
      <c r="AD3" s="129"/>
      <c r="AE3" s="129"/>
      <c r="AF3" s="129"/>
      <c r="AG3" s="129"/>
      <c r="AH3" s="129"/>
      <c r="AI3" s="129"/>
      <c r="AJ3" s="129"/>
      <c r="AK3" s="129"/>
    </row>
    <row r="4" spans="1:37" s="166" customFormat="1" ht="47.25" x14ac:dyDescent="0.2">
      <c r="A4" s="317"/>
      <c r="B4" s="175" t="s">
        <v>423</v>
      </c>
      <c r="C4" s="137" t="s">
        <v>320</v>
      </c>
      <c r="D4" s="13" t="s">
        <v>8</v>
      </c>
      <c r="E4" s="13" t="s">
        <v>9</v>
      </c>
      <c r="F4" s="13" t="s">
        <v>10</v>
      </c>
      <c r="G4" s="174" t="s">
        <v>321</v>
      </c>
      <c r="H4" s="130" t="s">
        <v>12</v>
      </c>
      <c r="I4" s="137" t="s">
        <v>13</v>
      </c>
      <c r="J4" s="175" t="s">
        <v>423</v>
      </c>
      <c r="K4" s="137" t="s">
        <v>320</v>
      </c>
      <c r="L4" s="13" t="s">
        <v>8</v>
      </c>
      <c r="M4" s="13" t="s">
        <v>9</v>
      </c>
      <c r="N4" s="13" t="s">
        <v>10</v>
      </c>
      <c r="O4" s="174" t="s">
        <v>321</v>
      </c>
      <c r="P4" s="130" t="s">
        <v>12</v>
      </c>
      <c r="Q4" s="137" t="s">
        <v>13</v>
      </c>
      <c r="R4" s="177" t="s">
        <v>14</v>
      </c>
      <c r="S4" s="177" t="s">
        <v>15</v>
      </c>
      <c r="T4" s="137" t="s">
        <v>16</v>
      </c>
    </row>
    <row r="5" spans="1:37" ht="94.5" x14ac:dyDescent="0.25">
      <c r="A5" s="113" t="s">
        <v>424</v>
      </c>
      <c r="B5" s="193">
        <v>333227524.08999997</v>
      </c>
      <c r="C5" s="193">
        <v>119551334.44</v>
      </c>
      <c r="D5" s="193">
        <v>18049609.579999998</v>
      </c>
      <c r="E5" s="193">
        <v>16478952.59</v>
      </c>
      <c r="F5" s="193">
        <f>SUM(B5:E5)</f>
        <v>487307420.69999993</v>
      </c>
      <c r="G5" s="147">
        <v>30</v>
      </c>
      <c r="H5" s="134" t="s">
        <v>19</v>
      </c>
      <c r="I5" s="179">
        <f>F5/G5</f>
        <v>16243580.689999998</v>
      </c>
      <c r="J5" s="66">
        <v>293232474.22781599</v>
      </c>
      <c r="K5" s="66">
        <v>106495160.739822</v>
      </c>
      <c r="L5" s="66">
        <v>17934007.506531999</v>
      </c>
      <c r="M5" s="66">
        <v>17378627.360698003</v>
      </c>
      <c r="N5" s="179">
        <f>SUM(J5:M5)</f>
        <v>435040269.83486801</v>
      </c>
      <c r="O5" s="179">
        <v>63</v>
      </c>
      <c r="P5" s="179" t="s">
        <v>19</v>
      </c>
      <c r="Q5" s="179">
        <f>+N5/O5</f>
        <v>6905401.1084899688</v>
      </c>
      <c r="R5" s="194">
        <f>(N5-F5)/F5*100</f>
        <v>-10.725703866781259</v>
      </c>
      <c r="S5" s="195" t="e">
        <f t="shared" ref="S5:T20" si="0">(P5-H5)/H5*100</f>
        <v>#VALUE!</v>
      </c>
      <c r="T5" s="66">
        <f t="shared" si="0"/>
        <v>-57.48843041275299</v>
      </c>
    </row>
    <row r="6" spans="1:37" ht="31.5" x14ac:dyDescent="0.25">
      <c r="A6" s="113" t="s">
        <v>425</v>
      </c>
      <c r="B6" s="193">
        <v>16831366.91</v>
      </c>
      <c r="C6" s="193">
        <v>1172563.25</v>
      </c>
      <c r="D6" s="193">
        <v>658147.74</v>
      </c>
      <c r="E6" s="193">
        <v>656163.18000000005</v>
      </c>
      <c r="F6" s="193">
        <f t="shared" ref="F6:F23" si="1">SUM(B6:E6)</f>
        <v>19318241.079999998</v>
      </c>
      <c r="G6" s="147">
        <v>58</v>
      </c>
      <c r="H6" s="134" t="s">
        <v>19</v>
      </c>
      <c r="I6" s="179">
        <f>F6/G6</f>
        <v>333073.12206896546</v>
      </c>
      <c r="J6" s="66">
        <v>8699460.1154050007</v>
      </c>
      <c r="K6" s="66">
        <v>1169463.004733</v>
      </c>
      <c r="L6" s="66">
        <v>613830.67439000006</v>
      </c>
      <c r="M6" s="66">
        <v>627459.82056200004</v>
      </c>
      <c r="N6" s="179">
        <f>SUM(J6:M6)</f>
        <v>11110213.61509</v>
      </c>
      <c r="O6" s="179">
        <v>23</v>
      </c>
      <c r="P6" s="179" t="s">
        <v>19</v>
      </c>
      <c r="Q6" s="179">
        <f>+N6/O6</f>
        <v>483052.76587347826</v>
      </c>
      <c r="R6" s="194">
        <f>(N6-F6)/F6*100</f>
        <v>-42.488482418866255</v>
      </c>
      <c r="S6" s="195" t="e">
        <f t="shared" si="0"/>
        <v>#VALUE!</v>
      </c>
      <c r="T6" s="66">
        <f t="shared" si="0"/>
        <v>45.029044335032928</v>
      </c>
    </row>
    <row r="7" spans="1:37" ht="31.5" x14ac:dyDescent="0.25">
      <c r="A7" s="196" t="s">
        <v>426</v>
      </c>
      <c r="B7" s="193">
        <v>103318305.56999999</v>
      </c>
      <c r="C7" s="193">
        <v>49612890.210000001</v>
      </c>
      <c r="D7" s="193">
        <v>22359974.75</v>
      </c>
      <c r="E7" s="193">
        <v>30327682.420000002</v>
      </c>
      <c r="F7" s="193">
        <f t="shared" si="1"/>
        <v>205618852.94999999</v>
      </c>
      <c r="G7" s="134">
        <v>38</v>
      </c>
      <c r="H7" s="134" t="s">
        <v>58</v>
      </c>
      <c r="I7" s="179">
        <f>F7/G7</f>
        <v>5411022.4460526314</v>
      </c>
      <c r="J7" s="66">
        <v>113733374.70345098</v>
      </c>
      <c r="K7" s="66">
        <v>149059187.96911204</v>
      </c>
      <c r="L7" s="66">
        <v>20877055.341469005</v>
      </c>
      <c r="M7" s="66">
        <v>27228098.725009002</v>
      </c>
      <c r="N7" s="179">
        <f>SUM(J7:M7)</f>
        <v>310897716.73904103</v>
      </c>
      <c r="O7" s="179">
        <v>44</v>
      </c>
      <c r="P7" s="179" t="s">
        <v>58</v>
      </c>
      <c r="Q7" s="179">
        <f>+N7/O7</f>
        <v>7065857.1986145684</v>
      </c>
      <c r="R7" s="194">
        <f>(N7-F7)/F7*100</f>
        <v>51.200978061404491</v>
      </c>
      <c r="S7" s="195" t="e">
        <f t="shared" si="0"/>
        <v>#VALUE!</v>
      </c>
      <c r="T7" s="66">
        <f t="shared" si="0"/>
        <v>30.582662871212957</v>
      </c>
    </row>
    <row r="8" spans="1:37" ht="63" x14ac:dyDescent="0.25">
      <c r="A8" s="196" t="s">
        <v>427</v>
      </c>
      <c r="B8" s="193">
        <v>358543353.07999998</v>
      </c>
      <c r="C8" s="193">
        <v>94357373.650000006</v>
      </c>
      <c r="D8" s="193">
        <v>28129603.57</v>
      </c>
      <c r="E8" s="193">
        <v>27287944.649999999</v>
      </c>
      <c r="F8" s="193">
        <f t="shared" si="1"/>
        <v>508318274.94999999</v>
      </c>
      <c r="G8" s="134">
        <v>688</v>
      </c>
      <c r="H8" s="147" t="s">
        <v>38</v>
      </c>
      <c r="I8" s="179">
        <f>F8/G8</f>
        <v>738834.70196220931</v>
      </c>
      <c r="J8" s="81">
        <v>448244245.15704602</v>
      </c>
      <c r="K8" s="81">
        <v>60263826.548616</v>
      </c>
      <c r="L8" s="81">
        <v>21377147.204688001</v>
      </c>
      <c r="M8" s="81">
        <v>19670178.201524001</v>
      </c>
      <c r="N8" s="179">
        <f t="shared" ref="N8:N32" si="2">SUM(J8:M8)</f>
        <v>549555397.11187398</v>
      </c>
      <c r="O8" s="179">
        <v>712</v>
      </c>
      <c r="P8" s="179" t="s">
        <v>38</v>
      </c>
      <c r="Q8" s="179">
        <f t="shared" ref="Q8:Q32" si="3">+N8/O8</f>
        <v>771847.46785375557</v>
      </c>
      <c r="R8" s="194">
        <f>(N8-F8)/F8*100</f>
        <v>8.1124610689887611</v>
      </c>
      <c r="S8" s="195" t="e">
        <f t="shared" si="0"/>
        <v>#VALUE!</v>
      </c>
      <c r="T8" s="66">
        <f t="shared" si="0"/>
        <v>4.4682208082363246</v>
      </c>
    </row>
    <row r="9" spans="1:37" ht="47.25" x14ac:dyDescent="0.25">
      <c r="A9" s="196" t="s">
        <v>428</v>
      </c>
      <c r="B9" s="193">
        <v>31875997.550000001</v>
      </c>
      <c r="C9" s="193">
        <v>131740.62</v>
      </c>
      <c r="D9" s="193">
        <v>138676.16</v>
      </c>
      <c r="E9" s="193">
        <v>315859.39</v>
      </c>
      <c r="F9" s="193">
        <f t="shared" si="1"/>
        <v>32462273.720000003</v>
      </c>
      <c r="G9" s="147">
        <v>1</v>
      </c>
      <c r="H9" s="134" t="s">
        <v>19</v>
      </c>
      <c r="I9" s="179">
        <f t="shared" ref="I9:I33" si="4">F9/G9</f>
        <v>32462273.720000003</v>
      </c>
      <c r="J9" s="179">
        <v>29589557.627022997</v>
      </c>
      <c r="K9" s="179">
        <v>3793302.3449229999</v>
      </c>
      <c r="L9" s="179">
        <v>1944002.9836599999</v>
      </c>
      <c r="M9" s="179">
        <v>1849853.8887529997</v>
      </c>
      <c r="N9" s="179">
        <f t="shared" si="2"/>
        <v>37176716.844358996</v>
      </c>
      <c r="O9" s="179">
        <v>2</v>
      </c>
      <c r="P9" s="134" t="s">
        <v>19</v>
      </c>
      <c r="Q9" s="179">
        <f t="shared" si="3"/>
        <v>18588358.422179498</v>
      </c>
      <c r="R9" s="194">
        <f t="shared" ref="R9:R33" si="5">(N9-F9)/F9*100</f>
        <v>14.522837078582162</v>
      </c>
      <c r="S9" s="195" t="e">
        <f t="shared" si="0"/>
        <v>#VALUE!</v>
      </c>
      <c r="T9" s="66">
        <f t="shared" si="0"/>
        <v>-42.738581460708922</v>
      </c>
    </row>
    <row r="10" spans="1:37" ht="47.25" x14ac:dyDescent="0.25">
      <c r="A10" s="196" t="s">
        <v>429</v>
      </c>
      <c r="B10" s="197">
        <v>186065266.40000001</v>
      </c>
      <c r="C10" s="197">
        <v>53832335.939999998</v>
      </c>
      <c r="D10" s="197">
        <v>11658542.539999999</v>
      </c>
      <c r="E10" s="197">
        <v>10916657.34</v>
      </c>
      <c r="F10" s="193">
        <f t="shared" si="1"/>
        <v>262472802.22</v>
      </c>
      <c r="G10" s="146">
        <v>17</v>
      </c>
      <c r="H10" s="183" t="s">
        <v>58</v>
      </c>
      <c r="I10" s="179">
        <f t="shared" si="4"/>
        <v>15439576.601176471</v>
      </c>
      <c r="J10" s="81">
        <v>143321788.43602902</v>
      </c>
      <c r="K10" s="81">
        <v>72125682.694319993</v>
      </c>
      <c r="L10" s="81">
        <v>9028340.7233389989</v>
      </c>
      <c r="M10" s="81">
        <v>8125496.0456889998</v>
      </c>
      <c r="N10" s="179">
        <f t="shared" si="2"/>
        <v>232601307.89937699</v>
      </c>
      <c r="O10" s="179">
        <v>23</v>
      </c>
      <c r="P10" s="183" t="s">
        <v>58</v>
      </c>
      <c r="Q10" s="179">
        <f t="shared" si="3"/>
        <v>10113100.343451174</v>
      </c>
      <c r="R10" s="194">
        <f t="shared" si="5"/>
        <v>-11.380796055046213</v>
      </c>
      <c r="S10" s="195" t="e">
        <f t="shared" si="0"/>
        <v>#VALUE!</v>
      </c>
      <c r="T10" s="66">
        <f t="shared" si="0"/>
        <v>-34.498849258077634</v>
      </c>
    </row>
    <row r="11" spans="1:37" ht="47.25" x14ac:dyDescent="0.25">
      <c r="A11" s="196" t="s">
        <v>430</v>
      </c>
      <c r="B11" s="193">
        <v>52135493.729999997</v>
      </c>
      <c r="C11" s="193">
        <v>5940539.8399999999</v>
      </c>
      <c r="D11" s="193">
        <v>3156242.4</v>
      </c>
      <c r="E11" s="193">
        <v>8169791.1100000003</v>
      </c>
      <c r="F11" s="193">
        <f t="shared" si="1"/>
        <v>69402067.079999998</v>
      </c>
      <c r="G11" s="147">
        <v>12</v>
      </c>
      <c r="H11" s="147" t="s">
        <v>58</v>
      </c>
      <c r="I11" s="179">
        <f>F11/G11</f>
        <v>5783505.5899999999</v>
      </c>
      <c r="J11" s="216">
        <v>51907585.444236994</v>
      </c>
      <c r="K11" s="216">
        <v>11429855.143662</v>
      </c>
      <c r="L11" s="216">
        <v>1439355.158512</v>
      </c>
      <c r="M11" s="216">
        <v>1597117.6826270001</v>
      </c>
      <c r="N11" s="179">
        <f t="shared" si="2"/>
        <v>66373913.429037996</v>
      </c>
      <c r="O11" s="198">
        <v>10</v>
      </c>
      <c r="P11" s="147" t="s">
        <v>58</v>
      </c>
      <c r="Q11" s="179">
        <f t="shared" si="3"/>
        <v>6637391.3429037994</v>
      </c>
      <c r="R11" s="194">
        <f t="shared" si="5"/>
        <v>-4.3632038329224976</v>
      </c>
      <c r="S11" s="195" t="e">
        <f t="shared" si="0"/>
        <v>#VALUE!</v>
      </c>
      <c r="T11" s="66">
        <f t="shared" si="0"/>
        <v>14.764155400493001</v>
      </c>
    </row>
    <row r="12" spans="1:37" ht="31.5" x14ac:dyDescent="0.25">
      <c r="A12" s="196" t="s">
        <v>431</v>
      </c>
      <c r="B12" s="193">
        <v>95858421.760000005</v>
      </c>
      <c r="C12" s="193">
        <v>60287207.880000003</v>
      </c>
      <c r="D12" s="193">
        <v>6529036.8399999999</v>
      </c>
      <c r="E12" s="193">
        <v>6570492.8799999999</v>
      </c>
      <c r="F12" s="193">
        <f t="shared" si="1"/>
        <v>169245159.36000001</v>
      </c>
      <c r="G12" s="147">
        <v>12</v>
      </c>
      <c r="H12" s="147" t="s">
        <v>75</v>
      </c>
      <c r="I12" s="179">
        <f>F12/G12</f>
        <v>14103763.280000001</v>
      </c>
      <c r="J12" s="179">
        <v>134835877.32173401</v>
      </c>
      <c r="K12" s="179">
        <v>1446012.021985</v>
      </c>
      <c r="L12" s="179">
        <v>914621.72497500002</v>
      </c>
      <c r="M12" s="179">
        <v>743981.69171100005</v>
      </c>
      <c r="N12" s="179">
        <f t="shared" si="2"/>
        <v>137940492.760405</v>
      </c>
      <c r="O12" s="179">
        <v>15</v>
      </c>
      <c r="P12" s="147" t="s">
        <v>75</v>
      </c>
      <c r="Q12" s="179">
        <f t="shared" si="3"/>
        <v>9196032.8506936673</v>
      </c>
      <c r="R12" s="194">
        <f t="shared" si="5"/>
        <v>-18.496639264587241</v>
      </c>
      <c r="S12" s="195" t="e">
        <f t="shared" si="0"/>
        <v>#VALUE!</v>
      </c>
      <c r="T12" s="66">
        <f t="shared" si="0"/>
        <v>-34.797311411669789</v>
      </c>
    </row>
    <row r="13" spans="1:37" ht="47.25" x14ac:dyDescent="0.25">
      <c r="A13" s="196" t="s">
        <v>432</v>
      </c>
      <c r="B13" s="193">
        <v>313402273.98000002</v>
      </c>
      <c r="C13" s="193">
        <v>84417595.329999998</v>
      </c>
      <c r="D13" s="193">
        <v>13915464.24</v>
      </c>
      <c r="E13" s="193">
        <v>7259054.4500000002</v>
      </c>
      <c r="F13" s="193">
        <f t="shared" si="1"/>
        <v>418994388</v>
      </c>
      <c r="G13" s="147">
        <v>626853</v>
      </c>
      <c r="H13" s="134" t="s">
        <v>49</v>
      </c>
      <c r="I13" s="179">
        <f t="shared" si="4"/>
        <v>668.40932084555709</v>
      </c>
      <c r="J13" s="81">
        <v>200943936.38630801</v>
      </c>
      <c r="K13" s="81">
        <v>84855005.742045</v>
      </c>
      <c r="L13" s="81">
        <v>10888503.293113936</v>
      </c>
      <c r="M13" s="81">
        <v>10183936.057484001</v>
      </c>
      <c r="N13" s="179">
        <f t="shared" si="2"/>
        <v>306871381.47895098</v>
      </c>
      <c r="O13" s="179">
        <v>501383</v>
      </c>
      <c r="P13" s="179" t="s">
        <v>49</v>
      </c>
      <c r="Q13" s="179">
        <f t="shared" si="3"/>
        <v>612.04983311949343</v>
      </c>
      <c r="R13" s="194">
        <f t="shared" si="5"/>
        <v>-26.760025845751667</v>
      </c>
      <c r="S13" s="195" t="e">
        <f t="shared" si="0"/>
        <v>#VALUE!</v>
      </c>
      <c r="T13" s="66">
        <f t="shared" si="0"/>
        <v>-8.4318823763210364</v>
      </c>
    </row>
    <row r="14" spans="1:37" ht="36" customHeight="1" x14ac:dyDescent="0.25">
      <c r="A14" s="199" t="s">
        <v>433</v>
      </c>
      <c r="B14" s="193">
        <v>115592386.13</v>
      </c>
      <c r="C14" s="193">
        <v>57513324.07</v>
      </c>
      <c r="D14" s="193">
        <v>7032884.4800000004</v>
      </c>
      <c r="E14" s="193">
        <v>6380950.2599999998</v>
      </c>
      <c r="F14" s="193">
        <f t="shared" si="1"/>
        <v>186519544.93999997</v>
      </c>
      <c r="G14" s="134">
        <v>73</v>
      </c>
      <c r="H14" s="135" t="s">
        <v>19</v>
      </c>
      <c r="I14" s="179">
        <f>F14/G14</f>
        <v>2555062.2594520543</v>
      </c>
      <c r="J14" s="81">
        <v>380254431.32516199</v>
      </c>
      <c r="K14" s="81">
        <v>29338322.645192027</v>
      </c>
      <c r="L14" s="81">
        <v>35088174.969842002</v>
      </c>
      <c r="M14" s="81">
        <v>89029055.227859989</v>
      </c>
      <c r="N14" s="179">
        <f t="shared" si="2"/>
        <v>533709984.16805601</v>
      </c>
      <c r="O14" s="179">
        <v>180</v>
      </c>
      <c r="P14" s="179" t="s">
        <v>19</v>
      </c>
      <c r="Q14" s="179">
        <f t="shared" si="3"/>
        <v>2965055.4676003112</v>
      </c>
      <c r="R14" s="194">
        <f t="shared" si="5"/>
        <v>186.14158604115246</v>
      </c>
      <c r="S14" s="195" t="e">
        <f t="shared" si="0"/>
        <v>#VALUE!</v>
      </c>
      <c r="T14" s="66">
        <f t="shared" si="0"/>
        <v>16.046309894467385</v>
      </c>
    </row>
    <row r="15" spans="1:37" ht="63" x14ac:dyDescent="0.25">
      <c r="A15" s="200" t="s">
        <v>434</v>
      </c>
      <c r="B15" s="182">
        <v>519823931.19</v>
      </c>
      <c r="C15" s="182">
        <v>569406798.75999999</v>
      </c>
      <c r="D15" s="182">
        <v>33614203.789999999</v>
      </c>
      <c r="E15" s="182">
        <v>118068718.25</v>
      </c>
      <c r="F15" s="193">
        <f t="shared" si="1"/>
        <v>1240913651.99</v>
      </c>
      <c r="G15" s="134">
        <v>152534</v>
      </c>
      <c r="H15" s="178" t="s">
        <v>49</v>
      </c>
      <c r="I15" s="179">
        <f t="shared" si="4"/>
        <v>8135.324924213618</v>
      </c>
      <c r="J15" s="81">
        <v>486930782.38165301</v>
      </c>
      <c r="K15" s="81">
        <v>568856024.56434798</v>
      </c>
      <c r="L15" s="81">
        <v>18364309.221987002</v>
      </c>
      <c r="M15" s="81">
        <v>61863180.144823998</v>
      </c>
      <c r="N15" s="179">
        <f t="shared" si="2"/>
        <v>1136014296.3128121</v>
      </c>
      <c r="O15" s="179">
        <v>164879</v>
      </c>
      <c r="P15" s="179" t="s">
        <v>49</v>
      </c>
      <c r="Q15" s="179">
        <f t="shared" si="3"/>
        <v>6889.9877868789363</v>
      </c>
      <c r="R15" s="194">
        <f t="shared" si="5"/>
        <v>-8.4533968587552657</v>
      </c>
      <c r="S15" s="195" t="e">
        <f t="shared" si="0"/>
        <v>#VALUE!</v>
      </c>
      <c r="T15" s="66">
        <f t="shared" si="0"/>
        <v>-15.307773800504462</v>
      </c>
    </row>
    <row r="16" spans="1:37" x14ac:dyDescent="0.25">
      <c r="A16" s="200" t="s">
        <v>435</v>
      </c>
      <c r="B16" s="201">
        <v>375308074.51999998</v>
      </c>
      <c r="C16" s="201">
        <v>165510423.75</v>
      </c>
      <c r="D16" s="201">
        <v>27721079.760000002</v>
      </c>
      <c r="E16" s="201">
        <v>22332949.649999999</v>
      </c>
      <c r="F16" s="201">
        <f t="shared" si="1"/>
        <v>590872527.67999995</v>
      </c>
      <c r="G16" s="90">
        <v>707829</v>
      </c>
      <c r="H16" s="201" t="s">
        <v>49</v>
      </c>
      <c r="I16" s="179">
        <f t="shared" si="4"/>
        <v>834.76733459635022</v>
      </c>
      <c r="J16" s="186">
        <v>263123041.624387</v>
      </c>
      <c r="K16" s="186">
        <v>53012485.261553399</v>
      </c>
      <c r="L16" s="186">
        <v>17986176.918808095</v>
      </c>
      <c r="M16" s="186">
        <v>13918507.049487501</v>
      </c>
      <c r="N16" s="179">
        <f t="shared" si="2"/>
        <v>348040210.85423601</v>
      </c>
      <c r="O16" s="179">
        <v>712677</v>
      </c>
      <c r="P16" s="179" t="s">
        <v>49</v>
      </c>
      <c r="Q16" s="179">
        <f t="shared" si="3"/>
        <v>488.35617096417593</v>
      </c>
      <c r="R16" s="194">
        <f t="shared" si="5"/>
        <v>-41.097242713114454</v>
      </c>
      <c r="S16" s="195" t="e">
        <f t="shared" si="0"/>
        <v>#VALUE!</v>
      </c>
      <c r="T16" s="66">
        <f t="shared" si="0"/>
        <v>-41.497929935133435</v>
      </c>
    </row>
    <row r="17" spans="1:20" x14ac:dyDescent="0.25">
      <c r="A17" s="200" t="s">
        <v>436</v>
      </c>
      <c r="B17" s="201">
        <v>177529691.30000001</v>
      </c>
      <c r="C17" s="201">
        <v>63819084.649999999</v>
      </c>
      <c r="D17" s="201">
        <v>13481666.960000001</v>
      </c>
      <c r="E17" s="201">
        <v>10260569.58</v>
      </c>
      <c r="F17" s="201">
        <f t="shared" si="1"/>
        <v>265091012.49000004</v>
      </c>
      <c r="G17" s="90">
        <v>214056</v>
      </c>
      <c r="H17" s="201" t="s">
        <v>49</v>
      </c>
      <c r="I17" s="179">
        <f t="shared" si="4"/>
        <v>1238.4189767630903</v>
      </c>
      <c r="J17" s="81">
        <v>119555578.69780791</v>
      </c>
      <c r="K17" s="81">
        <v>18402875.118550997</v>
      </c>
      <c r="L17" s="81">
        <v>7959789.9239077996</v>
      </c>
      <c r="M17" s="81">
        <v>7681025.4238105994</v>
      </c>
      <c r="N17" s="179">
        <f t="shared" si="2"/>
        <v>153599269.16407728</v>
      </c>
      <c r="O17" s="179">
        <v>198764</v>
      </c>
      <c r="P17" s="179" t="s">
        <v>49</v>
      </c>
      <c r="Q17" s="179">
        <f t="shared" si="3"/>
        <v>772.7720772578399</v>
      </c>
      <c r="R17" s="194">
        <f t="shared" si="5"/>
        <v>-42.057911461682821</v>
      </c>
      <c r="S17" s="195" t="e">
        <f t="shared" si="0"/>
        <v>#VALUE!</v>
      </c>
      <c r="T17" s="66">
        <f t="shared" si="0"/>
        <v>-37.600110159998678</v>
      </c>
    </row>
    <row r="18" spans="1:20" x14ac:dyDescent="0.25">
      <c r="A18" s="200" t="s">
        <v>437</v>
      </c>
      <c r="B18" s="201">
        <v>83602521.060000002</v>
      </c>
      <c r="C18" s="201">
        <v>55767050.219999999</v>
      </c>
      <c r="D18" s="201">
        <v>6326921.6500000004</v>
      </c>
      <c r="E18" s="201">
        <v>4501349.63</v>
      </c>
      <c r="F18" s="201">
        <f t="shared" si="1"/>
        <v>150197842.56</v>
      </c>
      <c r="G18" s="90">
        <v>415061</v>
      </c>
      <c r="H18" s="201" t="s">
        <v>49</v>
      </c>
      <c r="I18" s="179">
        <f t="shared" si="4"/>
        <v>361.86932176234336</v>
      </c>
      <c r="J18" s="81">
        <v>100894993.025939</v>
      </c>
      <c r="K18" s="81">
        <v>74371522.949802011</v>
      </c>
      <c r="L18" s="81">
        <v>7268440.3793930002</v>
      </c>
      <c r="M18" s="81">
        <v>4673814.2774170004</v>
      </c>
      <c r="N18" s="179">
        <f t="shared" si="2"/>
        <v>187208770.63255104</v>
      </c>
      <c r="O18" s="179">
        <v>703181</v>
      </c>
      <c r="P18" s="179" t="s">
        <v>49</v>
      </c>
      <c r="Q18" s="179">
        <f t="shared" si="3"/>
        <v>266.23126994692836</v>
      </c>
      <c r="R18" s="194">
        <f t="shared" si="5"/>
        <v>24.641451196455215</v>
      </c>
      <c r="S18" s="195" t="e">
        <f t="shared" si="0"/>
        <v>#VALUE!</v>
      </c>
      <c r="T18" s="66">
        <f t="shared" si="0"/>
        <v>-26.428891885514687</v>
      </c>
    </row>
    <row r="19" spans="1:20" ht="31.5" x14ac:dyDescent="0.25">
      <c r="A19" s="200" t="s">
        <v>438</v>
      </c>
      <c r="B19" s="182">
        <v>106565509.43000001</v>
      </c>
      <c r="C19" s="182">
        <v>9819681.0500000007</v>
      </c>
      <c r="D19" s="182">
        <v>6573886.1100000003</v>
      </c>
      <c r="E19" s="182">
        <v>6184426.7400000002</v>
      </c>
      <c r="F19" s="201">
        <f t="shared" si="1"/>
        <v>129143503.33</v>
      </c>
      <c r="G19" s="147">
        <v>85</v>
      </c>
      <c r="H19" s="178" t="s">
        <v>144</v>
      </c>
      <c r="I19" s="179">
        <f t="shared" si="4"/>
        <v>1519335.3332941176</v>
      </c>
      <c r="J19" s="202">
        <v>43698020.055209704</v>
      </c>
      <c r="K19" s="202">
        <v>107763462.36363779</v>
      </c>
      <c r="L19" s="202">
        <v>4392073.3200341631</v>
      </c>
      <c r="M19" s="202">
        <v>1000106.6187410217</v>
      </c>
      <c r="N19" s="179">
        <f t="shared" si="2"/>
        <v>156853662.35762271</v>
      </c>
      <c r="O19" s="202">
        <v>90</v>
      </c>
      <c r="P19" s="178" t="s">
        <v>144</v>
      </c>
      <c r="Q19" s="179">
        <f t="shared" si="3"/>
        <v>1742818.4706402523</v>
      </c>
      <c r="R19" s="194">
        <f t="shared" si="5"/>
        <v>21.456874185002579</v>
      </c>
      <c r="S19" s="195" t="e">
        <f t="shared" si="0"/>
        <v>#VALUE!</v>
      </c>
      <c r="T19" s="66">
        <f t="shared" si="0"/>
        <v>14.709270063613546</v>
      </c>
    </row>
    <row r="20" spans="1:20" ht="47.25" x14ac:dyDescent="0.25">
      <c r="A20" s="200" t="s">
        <v>439</v>
      </c>
      <c r="B20" s="182">
        <v>21385292.850000001</v>
      </c>
      <c r="C20" s="182">
        <v>4605983.16</v>
      </c>
      <c r="D20" s="182">
        <v>1283607.08</v>
      </c>
      <c r="E20" s="182">
        <v>1052632.8700000001</v>
      </c>
      <c r="F20" s="201">
        <f t="shared" si="1"/>
        <v>28327515.960000005</v>
      </c>
      <c r="G20" s="147">
        <v>5</v>
      </c>
      <c r="H20" s="178" t="s">
        <v>153</v>
      </c>
      <c r="I20" s="179">
        <f>F20/G20</f>
        <v>5665503.1920000007</v>
      </c>
      <c r="J20" s="81">
        <v>21501731.453754999</v>
      </c>
      <c r="K20" s="81">
        <v>5610763.3364909999</v>
      </c>
      <c r="L20" s="81">
        <v>1284707.7040929999</v>
      </c>
      <c r="M20" s="81">
        <v>1037188.1350229998</v>
      </c>
      <c r="N20" s="179">
        <f t="shared" si="2"/>
        <v>29434390.629361998</v>
      </c>
      <c r="O20" s="179">
        <v>7</v>
      </c>
      <c r="P20" s="179" t="s">
        <v>153</v>
      </c>
      <c r="Q20" s="179">
        <f t="shared" si="3"/>
        <v>4204912.9470517142</v>
      </c>
      <c r="R20" s="194">
        <f t="shared" si="5"/>
        <v>3.9074187476408486</v>
      </c>
      <c r="S20" s="195" t="e">
        <f t="shared" si="0"/>
        <v>#VALUE!</v>
      </c>
      <c r="T20" s="66">
        <f t="shared" si="0"/>
        <v>-25.780415180256533</v>
      </c>
    </row>
    <row r="21" spans="1:20" ht="47.25" x14ac:dyDescent="0.25">
      <c r="A21" s="200" t="s">
        <v>440</v>
      </c>
      <c r="B21" s="182">
        <v>63906408.060000002</v>
      </c>
      <c r="C21" s="182">
        <v>4432735.78</v>
      </c>
      <c r="D21" s="182">
        <v>2030412.08</v>
      </c>
      <c r="E21" s="182">
        <v>2474673.41</v>
      </c>
      <c r="F21" s="193">
        <f t="shared" si="1"/>
        <v>72844229.329999998</v>
      </c>
      <c r="G21" s="147">
        <v>32146</v>
      </c>
      <c r="H21" s="178" t="s">
        <v>144</v>
      </c>
      <c r="I21" s="179">
        <f t="shared" si="4"/>
        <v>2266.0433438063833</v>
      </c>
      <c r="J21" s="81">
        <v>59568746.790335998</v>
      </c>
      <c r="K21" s="81">
        <v>9628662.598576</v>
      </c>
      <c r="L21" s="81">
        <v>5151298.9699669993</v>
      </c>
      <c r="M21" s="81">
        <v>5377036.0570509983</v>
      </c>
      <c r="N21" s="179">
        <f t="shared" si="2"/>
        <v>79725744.415929988</v>
      </c>
      <c r="O21" s="179">
        <v>33544</v>
      </c>
      <c r="P21" s="179" t="s">
        <v>144</v>
      </c>
      <c r="Q21" s="179">
        <f t="shared" si="3"/>
        <v>2376.7512644863459</v>
      </c>
      <c r="R21" s="194">
        <f t="shared" si="5"/>
        <v>9.4468911940234133</v>
      </c>
      <c r="S21" s="195" t="e">
        <f t="shared" ref="S21:T33" si="6">(P21-H21)/H21*100</f>
        <v>#VALUE!</v>
      </c>
      <c r="T21" s="66">
        <f t="shared" si="6"/>
        <v>4.8855164656295207</v>
      </c>
    </row>
    <row r="22" spans="1:20" ht="47.25" x14ac:dyDescent="0.25">
      <c r="A22" s="200" t="s">
        <v>441</v>
      </c>
      <c r="B22" s="182">
        <v>56643256.609999999</v>
      </c>
      <c r="C22" s="182">
        <v>9372028.9399999995</v>
      </c>
      <c r="D22" s="182">
        <v>2744660.32</v>
      </c>
      <c r="E22" s="182">
        <v>2459399.29</v>
      </c>
      <c r="F22" s="193">
        <f t="shared" si="1"/>
        <v>71219345.159999996</v>
      </c>
      <c r="G22" s="147">
        <v>941</v>
      </c>
      <c r="H22" s="178" t="s">
        <v>38</v>
      </c>
      <c r="I22" s="179">
        <f t="shared" si="4"/>
        <v>75684.745122210414</v>
      </c>
      <c r="J22" s="202">
        <v>67971907.931999996</v>
      </c>
      <c r="K22" s="202">
        <v>11246434.728</v>
      </c>
      <c r="L22" s="202">
        <v>3293592.3839999996</v>
      </c>
      <c r="M22" s="202">
        <v>2951279.148</v>
      </c>
      <c r="N22" s="179">
        <f t="shared" si="2"/>
        <v>85463214.192000002</v>
      </c>
      <c r="O22" s="202">
        <v>1002</v>
      </c>
      <c r="P22" s="178" t="s">
        <v>38</v>
      </c>
      <c r="Q22" s="179">
        <f t="shared" si="3"/>
        <v>85292.628934131732</v>
      </c>
      <c r="R22" s="194">
        <f t="shared" si="5"/>
        <v>20.000000000000011</v>
      </c>
      <c r="S22" s="195" t="e">
        <f t="shared" si="6"/>
        <v>#VALUE!</v>
      </c>
      <c r="T22" s="66">
        <f t="shared" si="6"/>
        <v>12.694610778443108</v>
      </c>
    </row>
    <row r="23" spans="1:20" ht="47.25" x14ac:dyDescent="0.25">
      <c r="A23" s="200" t="s">
        <v>442</v>
      </c>
      <c r="B23" s="182">
        <v>29297377.129999999</v>
      </c>
      <c r="C23" s="182">
        <v>25120309.960000001</v>
      </c>
      <c r="D23" s="182">
        <v>2466684.98</v>
      </c>
      <c r="E23" s="182">
        <v>3898439.87</v>
      </c>
      <c r="F23" s="193">
        <f t="shared" si="1"/>
        <v>60782811.939999998</v>
      </c>
      <c r="G23" s="147">
        <v>64</v>
      </c>
      <c r="H23" s="178" t="s">
        <v>38</v>
      </c>
      <c r="I23" s="179">
        <f t="shared" si="4"/>
        <v>949731.43656249996</v>
      </c>
      <c r="J23" s="179">
        <v>56541861.487524986</v>
      </c>
      <c r="K23" s="179">
        <v>37473814.656696975</v>
      </c>
      <c r="L23" s="179">
        <v>18060427.781689852</v>
      </c>
      <c r="M23" s="179">
        <v>5289869.9330658019</v>
      </c>
      <c r="N23" s="179">
        <f t="shared" si="2"/>
        <v>117365973.85897762</v>
      </c>
      <c r="O23" s="179">
        <v>82</v>
      </c>
      <c r="P23" s="178" t="s">
        <v>38</v>
      </c>
      <c r="Q23" s="179">
        <f t="shared" si="3"/>
        <v>1431292.3641338733</v>
      </c>
      <c r="R23" s="194">
        <f t="shared" si="5"/>
        <v>93.090727646545972</v>
      </c>
      <c r="S23" s="195" t="e">
        <f t="shared" si="6"/>
        <v>#VALUE!</v>
      </c>
      <c r="T23" s="66">
        <f t="shared" si="6"/>
        <v>50.704958163157812</v>
      </c>
    </row>
    <row r="24" spans="1:20" ht="63" x14ac:dyDescent="0.25">
      <c r="A24" s="200" t="s">
        <v>443</v>
      </c>
      <c r="B24" s="182">
        <v>82857642.760000005</v>
      </c>
      <c r="C24" s="182">
        <v>19246714.390000001</v>
      </c>
      <c r="D24" s="182">
        <v>4931731.84</v>
      </c>
      <c r="E24" s="182">
        <v>8723862.7300000004</v>
      </c>
      <c r="F24" s="193">
        <f t="shared" ref="F24:F33" si="7">SUM(B24:E24)</f>
        <v>115759951.72000001</v>
      </c>
      <c r="G24" s="147">
        <v>808</v>
      </c>
      <c r="H24" s="178" t="s">
        <v>38</v>
      </c>
      <c r="I24" s="179">
        <f t="shared" si="4"/>
        <v>143267.26698019804</v>
      </c>
      <c r="J24" s="81">
        <v>65137184.310031019</v>
      </c>
      <c r="K24" s="81">
        <v>19178315.698188998</v>
      </c>
      <c r="L24" s="81">
        <v>4122313.4407899999</v>
      </c>
      <c r="M24" s="81">
        <v>3563354.3420839999</v>
      </c>
      <c r="N24" s="179">
        <f t="shared" si="2"/>
        <v>92001167.79109402</v>
      </c>
      <c r="O24" s="179">
        <v>845</v>
      </c>
      <c r="P24" s="178" t="s">
        <v>38</v>
      </c>
      <c r="Q24" s="179">
        <f t="shared" si="3"/>
        <v>108877.12164626511</v>
      </c>
      <c r="R24" s="194">
        <f t="shared" si="5"/>
        <v>-20.524182652022613</v>
      </c>
      <c r="S24" s="195" t="e">
        <f t="shared" si="6"/>
        <v>#VALUE!</v>
      </c>
      <c r="T24" s="66">
        <f t="shared" si="6"/>
        <v>-24.004188855425177</v>
      </c>
    </row>
    <row r="25" spans="1:20" ht="47.25" x14ac:dyDescent="0.25">
      <c r="A25" s="200" t="s">
        <v>444</v>
      </c>
      <c r="B25" s="182">
        <v>75022815.489999995</v>
      </c>
      <c r="C25" s="182">
        <v>7182471.1900000004</v>
      </c>
      <c r="D25" s="182">
        <v>3925875.27</v>
      </c>
      <c r="E25" s="182">
        <v>3735296.09</v>
      </c>
      <c r="F25" s="193">
        <f t="shared" si="7"/>
        <v>89866458.039999992</v>
      </c>
      <c r="G25" s="147">
        <v>85</v>
      </c>
      <c r="H25" s="178" t="s">
        <v>144</v>
      </c>
      <c r="I25" s="179">
        <f t="shared" si="4"/>
        <v>1057252.4475294116</v>
      </c>
      <c r="J25" s="179">
        <v>69393018.256891996</v>
      </c>
      <c r="K25" s="179">
        <v>9757846.2827610001</v>
      </c>
      <c r="L25" s="179">
        <v>4680161.5009590006</v>
      </c>
      <c r="M25" s="179">
        <v>6737338.0579530001</v>
      </c>
      <c r="N25" s="179">
        <f t="shared" si="2"/>
        <v>90568364.098564997</v>
      </c>
      <c r="O25" s="179">
        <v>90</v>
      </c>
      <c r="P25" s="178" t="s">
        <v>144</v>
      </c>
      <c r="Q25" s="179">
        <f t="shared" si="3"/>
        <v>1006315.1566507221</v>
      </c>
      <c r="R25" s="194">
        <f t="shared" si="5"/>
        <v>0.78105454902048532</v>
      </c>
      <c r="S25" s="195" t="e">
        <f t="shared" si="6"/>
        <v>#VALUE!</v>
      </c>
      <c r="T25" s="66">
        <f t="shared" si="6"/>
        <v>-4.8178929259250998</v>
      </c>
    </row>
    <row r="26" spans="1:20" ht="63" x14ac:dyDescent="0.25">
      <c r="A26" s="200" t="s">
        <v>445</v>
      </c>
      <c r="B26" s="182">
        <v>3029568.87</v>
      </c>
      <c r="C26" s="182">
        <v>631157.44999999995</v>
      </c>
      <c r="D26" s="182">
        <v>357831.54</v>
      </c>
      <c r="E26" s="182">
        <v>1070485.28</v>
      </c>
      <c r="F26" s="193">
        <f t="shared" si="7"/>
        <v>5089043.1400000006</v>
      </c>
      <c r="G26" s="147">
        <v>85</v>
      </c>
      <c r="H26" s="178" t="s">
        <v>58</v>
      </c>
      <c r="I26" s="179">
        <f t="shared" si="4"/>
        <v>59871.095764705889</v>
      </c>
      <c r="J26" s="81">
        <v>1846984.0486559998</v>
      </c>
      <c r="K26" s="81">
        <v>2482176.2756629996</v>
      </c>
      <c r="L26" s="81">
        <v>346861.79043399997</v>
      </c>
      <c r="M26" s="81">
        <v>2501154.6857429994</v>
      </c>
      <c r="N26" s="179">
        <f t="shared" si="2"/>
        <v>7177176.8004959989</v>
      </c>
      <c r="O26" s="179">
        <v>90</v>
      </c>
      <c r="P26" s="179" t="s">
        <v>58</v>
      </c>
      <c r="Q26" s="179">
        <f t="shared" si="3"/>
        <v>79746.408894399981</v>
      </c>
      <c r="R26" s="194">
        <f t="shared" si="5"/>
        <v>41.031950467922307</v>
      </c>
      <c r="S26" s="195" t="e">
        <f t="shared" si="6"/>
        <v>#VALUE!</v>
      </c>
      <c r="T26" s="66">
        <f t="shared" si="6"/>
        <v>33.19684210859328</v>
      </c>
    </row>
    <row r="27" spans="1:20" ht="47.25" x14ac:dyDescent="0.25">
      <c r="A27" s="200" t="s">
        <v>446</v>
      </c>
      <c r="B27" s="182">
        <v>22142690.710000001</v>
      </c>
      <c r="C27" s="182">
        <v>15030139.970000001</v>
      </c>
      <c r="D27" s="182">
        <v>1269407.54</v>
      </c>
      <c r="E27" s="182">
        <v>1684300.49</v>
      </c>
      <c r="F27" s="193">
        <f t="shared" si="7"/>
        <v>40126538.710000001</v>
      </c>
      <c r="G27" s="147">
        <v>14</v>
      </c>
      <c r="H27" s="178" t="s">
        <v>19</v>
      </c>
      <c r="I27" s="179">
        <f t="shared" si="4"/>
        <v>2866181.3364285715</v>
      </c>
      <c r="J27" s="81">
        <v>18384301.238681003</v>
      </c>
      <c r="K27" s="81">
        <v>1758376.8091259999</v>
      </c>
      <c r="L27" s="81">
        <v>1165481.58005</v>
      </c>
      <c r="M27" s="81">
        <v>1726125.5581240002</v>
      </c>
      <c r="N27" s="179">
        <f t="shared" si="2"/>
        <v>23034285.185981005</v>
      </c>
      <c r="O27" s="179">
        <v>16</v>
      </c>
      <c r="P27" s="179" t="s">
        <v>19</v>
      </c>
      <c r="Q27" s="179">
        <f t="shared" si="3"/>
        <v>1439642.8241238128</v>
      </c>
      <c r="R27" s="194">
        <f t="shared" si="5"/>
        <v>-42.595883107553973</v>
      </c>
      <c r="S27" s="195" t="e">
        <f t="shared" si="6"/>
        <v>#VALUE!</v>
      </c>
      <c r="T27" s="66">
        <f t="shared" si="6"/>
        <v>-49.771397719109721</v>
      </c>
    </row>
    <row r="28" spans="1:20" ht="47.25" x14ac:dyDescent="0.25">
      <c r="A28" s="200" t="s">
        <v>447</v>
      </c>
      <c r="B28" s="182">
        <v>26955155.809999999</v>
      </c>
      <c r="C28" s="182">
        <v>4314103.83</v>
      </c>
      <c r="D28" s="182">
        <v>2294656.6</v>
      </c>
      <c r="E28" s="182">
        <v>4111155.63</v>
      </c>
      <c r="F28" s="193">
        <f t="shared" si="7"/>
        <v>37675071.870000005</v>
      </c>
      <c r="G28" s="147">
        <v>7250</v>
      </c>
      <c r="H28" s="178" t="s">
        <v>52</v>
      </c>
      <c r="I28" s="179">
        <f t="shared" si="4"/>
        <v>5196.5616372413797</v>
      </c>
      <c r="J28" s="81">
        <v>27485979.349084001</v>
      </c>
      <c r="K28" s="81">
        <v>7003956.4695609985</v>
      </c>
      <c r="L28" s="81">
        <v>1799825.9320690001</v>
      </c>
      <c r="M28" s="81">
        <v>2161430.4048389997</v>
      </c>
      <c r="N28" s="179">
        <f t="shared" si="2"/>
        <v>38451192.155553006</v>
      </c>
      <c r="O28" s="179">
        <v>7600</v>
      </c>
      <c r="P28" s="178" t="s">
        <v>52</v>
      </c>
      <c r="Q28" s="179">
        <f t="shared" si="3"/>
        <v>5059.3673888885533</v>
      </c>
      <c r="R28" s="194">
        <f t="shared" si="5"/>
        <v>2.0600366423481513</v>
      </c>
      <c r="S28" s="195" t="e">
        <f t="shared" si="6"/>
        <v>#VALUE!</v>
      </c>
      <c r="T28" s="66">
        <f t="shared" si="6"/>
        <v>-2.6400966240757739</v>
      </c>
    </row>
    <row r="29" spans="1:20" ht="47.25" x14ac:dyDescent="0.25">
      <c r="A29" s="200" t="s">
        <v>448</v>
      </c>
      <c r="B29" s="182">
        <v>22708627.600000001</v>
      </c>
      <c r="C29" s="182">
        <v>2323512.4700000002</v>
      </c>
      <c r="D29" s="182">
        <v>1045461.12</v>
      </c>
      <c r="E29" s="182">
        <v>2367976.5699999998</v>
      </c>
      <c r="F29" s="193">
        <f t="shared" si="7"/>
        <v>28445577.760000002</v>
      </c>
      <c r="G29" s="147">
        <v>4</v>
      </c>
      <c r="H29" s="178" t="s">
        <v>38</v>
      </c>
      <c r="I29" s="179">
        <f t="shared" si="4"/>
        <v>7111394.4400000004</v>
      </c>
      <c r="J29" s="81">
        <v>16488773.837839998</v>
      </c>
      <c r="K29" s="81">
        <v>9781105.5155539997</v>
      </c>
      <c r="L29" s="81">
        <v>917114.82800900005</v>
      </c>
      <c r="M29" s="81">
        <v>1178564.5796370001</v>
      </c>
      <c r="N29" s="179">
        <f t="shared" si="2"/>
        <v>28365558.761039995</v>
      </c>
      <c r="O29" s="198">
        <v>4</v>
      </c>
      <c r="P29" s="178" t="s">
        <v>38</v>
      </c>
      <c r="Q29" s="179">
        <f t="shared" si="3"/>
        <v>7091389.6902599987</v>
      </c>
      <c r="R29" s="194">
        <f t="shared" si="5"/>
        <v>-0.28130558512518317</v>
      </c>
      <c r="S29" s="195" t="e">
        <f t="shared" si="6"/>
        <v>#VALUE!</v>
      </c>
      <c r="T29" s="66">
        <f t="shared" si="6"/>
        <v>-0.28130558512518317</v>
      </c>
    </row>
    <row r="30" spans="1:20" ht="63" x14ac:dyDescent="0.25">
      <c r="A30" s="200" t="s">
        <v>449</v>
      </c>
      <c r="B30" s="182">
        <v>37443373.590000004</v>
      </c>
      <c r="C30" s="182">
        <v>37716619.560000002</v>
      </c>
      <c r="D30" s="182">
        <v>3572807.21</v>
      </c>
      <c r="E30" s="182">
        <v>4538097.95</v>
      </c>
      <c r="F30" s="193">
        <f t="shared" si="7"/>
        <v>83270898.310000002</v>
      </c>
      <c r="G30" s="147">
        <v>40</v>
      </c>
      <c r="H30" s="178" t="s">
        <v>38</v>
      </c>
      <c r="I30" s="179">
        <f t="shared" si="4"/>
        <v>2081772.4577500001</v>
      </c>
      <c r="J30" s="81">
        <v>57038792.382368006</v>
      </c>
      <c r="K30" s="81">
        <v>13335808.935978001</v>
      </c>
      <c r="L30" s="81">
        <v>4184090.3357579997</v>
      </c>
      <c r="M30" s="81">
        <v>6342468.5247099996</v>
      </c>
      <c r="N30" s="179">
        <f t="shared" si="2"/>
        <v>80901160.178814009</v>
      </c>
      <c r="O30" s="179">
        <v>65</v>
      </c>
      <c r="P30" s="179" t="s">
        <v>38</v>
      </c>
      <c r="Q30" s="179">
        <f t="shared" si="3"/>
        <v>1244633.2335202156</v>
      </c>
      <c r="R30" s="194">
        <f t="shared" si="5"/>
        <v>-2.845817901908489</v>
      </c>
      <c r="S30" s="195" t="e">
        <f t="shared" si="6"/>
        <v>#VALUE!</v>
      </c>
      <c r="T30" s="66">
        <f t="shared" si="6"/>
        <v>-40.212811016559066</v>
      </c>
    </row>
    <row r="31" spans="1:20" ht="31.5" x14ac:dyDescent="0.25">
      <c r="A31" s="200" t="s">
        <v>450</v>
      </c>
      <c r="B31" s="182">
        <v>46273117.979999997</v>
      </c>
      <c r="C31" s="182">
        <v>11297985.42</v>
      </c>
      <c r="D31" s="182">
        <v>862228.36</v>
      </c>
      <c r="E31" s="182">
        <v>754433.48</v>
      </c>
      <c r="F31" s="193">
        <f t="shared" si="7"/>
        <v>59187765.239999995</v>
      </c>
      <c r="G31" s="147">
        <v>4225</v>
      </c>
      <c r="H31" s="178" t="s">
        <v>288</v>
      </c>
      <c r="I31" s="179">
        <f t="shared" si="4"/>
        <v>14008.938518343193</v>
      </c>
      <c r="J31" s="81">
        <v>21797158.056005001</v>
      </c>
      <c r="K31" s="81">
        <v>8654692.6876769997</v>
      </c>
      <c r="L31" s="81">
        <v>1733886.7551040002</v>
      </c>
      <c r="M31" s="81">
        <v>2343232.049294</v>
      </c>
      <c r="N31" s="179">
        <f t="shared" si="2"/>
        <v>34528969.548080005</v>
      </c>
      <c r="O31" s="179">
        <v>4878</v>
      </c>
      <c r="P31" s="178" t="s">
        <v>288</v>
      </c>
      <c r="Q31" s="179">
        <f t="shared" si="3"/>
        <v>7078.5095424518258</v>
      </c>
      <c r="R31" s="194">
        <f t="shared" si="5"/>
        <v>-41.661981309703513</v>
      </c>
      <c r="S31" s="195" t="e">
        <f t="shared" si="6"/>
        <v>#VALUE!</v>
      </c>
      <c r="T31" s="66">
        <f t="shared" si="6"/>
        <v>-49.471478276649719</v>
      </c>
    </row>
    <row r="32" spans="1:20" ht="47.25" x14ac:dyDescent="0.25">
      <c r="A32" s="200" t="s">
        <v>451</v>
      </c>
      <c r="B32" s="203">
        <v>8244184.3099999996</v>
      </c>
      <c r="C32" s="203">
        <v>1590708.56</v>
      </c>
      <c r="D32" s="203">
        <v>596747.99</v>
      </c>
      <c r="E32" s="203">
        <v>465073.66</v>
      </c>
      <c r="F32" s="197">
        <f t="shared" si="7"/>
        <v>10896714.52</v>
      </c>
      <c r="G32" s="215">
        <v>5</v>
      </c>
      <c r="H32" s="182" t="s">
        <v>19</v>
      </c>
      <c r="I32" s="203">
        <f t="shared" si="4"/>
        <v>2179342.9040000001</v>
      </c>
      <c r="J32" s="81">
        <v>4183480.0076199998</v>
      </c>
      <c r="K32" s="81">
        <v>1284731.9876259998</v>
      </c>
      <c r="L32" s="81">
        <v>256644.602426</v>
      </c>
      <c r="M32" s="81">
        <v>257592.76407799998</v>
      </c>
      <c r="N32" s="179">
        <f t="shared" si="2"/>
        <v>5982449.3617499992</v>
      </c>
      <c r="O32" s="198">
        <v>6</v>
      </c>
      <c r="P32" s="198" t="s">
        <v>19</v>
      </c>
      <c r="Q32" s="179">
        <f t="shared" si="3"/>
        <v>997074.89362499991</v>
      </c>
      <c r="R32" s="194">
        <f t="shared" si="5"/>
        <v>-45.098595078638439</v>
      </c>
      <c r="S32" s="195" t="e">
        <f t="shared" si="6"/>
        <v>#VALUE!</v>
      </c>
      <c r="T32" s="66">
        <f t="shared" si="6"/>
        <v>-54.248829232198702</v>
      </c>
    </row>
    <row r="33" spans="1:20" ht="31.5" x14ac:dyDescent="0.25">
      <c r="A33" s="200" t="s">
        <v>452</v>
      </c>
      <c r="B33" s="203">
        <v>26202806.77</v>
      </c>
      <c r="C33" s="203">
        <v>4318908.75</v>
      </c>
      <c r="D33" s="203">
        <v>1853049.05</v>
      </c>
      <c r="E33" s="203">
        <v>1911807.1</v>
      </c>
      <c r="F33" s="193">
        <f t="shared" si="7"/>
        <v>34286571.670000002</v>
      </c>
      <c r="G33" s="204">
        <v>5</v>
      </c>
      <c r="H33" s="182" t="s">
        <v>19</v>
      </c>
      <c r="I33" s="182">
        <f t="shared" si="4"/>
        <v>6857314.3340000007</v>
      </c>
      <c r="J33" s="311" t="s">
        <v>453</v>
      </c>
      <c r="K33" s="312"/>
      <c r="L33" s="312"/>
      <c r="M33" s="312"/>
      <c r="N33" s="312"/>
      <c r="O33" s="312"/>
      <c r="P33" s="312"/>
      <c r="Q33" s="313"/>
      <c r="R33" s="194">
        <f t="shared" si="5"/>
        <v>-100</v>
      </c>
      <c r="S33" s="195" t="e">
        <f t="shared" si="6"/>
        <v>#VALUE!</v>
      </c>
      <c r="T33" s="66">
        <f t="shared" si="6"/>
        <v>-100</v>
      </c>
    </row>
    <row r="34" spans="1:20" ht="16.5" thickBot="1" x14ac:dyDescent="0.3">
      <c r="A34" s="205" t="s">
        <v>412</v>
      </c>
      <c r="B34" s="96">
        <f>SUM(B5:B33)</f>
        <v>3391792435.2399998</v>
      </c>
      <c r="C34" s="96">
        <f>SUM(C5:C33)</f>
        <v>1538323323.0900004</v>
      </c>
      <c r="D34" s="96">
        <f>SUM(D5:D33)</f>
        <v>228581101.55000004</v>
      </c>
      <c r="E34" s="96">
        <f>SUM(E5:E33)</f>
        <v>314959196.54000014</v>
      </c>
      <c r="F34" s="206">
        <f>SUM(F5:F33)</f>
        <v>5473656056.420001</v>
      </c>
      <c r="G34" s="96"/>
      <c r="H34" s="96"/>
      <c r="I34" s="96"/>
      <c r="J34" s="96">
        <f>SUM(J5:J33)</f>
        <v>3306305065.6799998</v>
      </c>
      <c r="K34" s="206">
        <f>SUM(K5:K33)</f>
        <v>1479578875.0942008</v>
      </c>
      <c r="L34" s="96">
        <f>SUM(L5:L33)</f>
        <v>223072236.9499999</v>
      </c>
      <c r="M34" s="96">
        <f>SUM(M5:M33)</f>
        <v>307037072.45579892</v>
      </c>
      <c r="N34" s="96">
        <f>SUM(N5:N33)</f>
        <v>5315993250.1800013</v>
      </c>
    </row>
    <row r="35" spans="1:20" ht="16.5" thickTop="1" x14ac:dyDescent="0.25"/>
    <row r="39" spans="1:20" x14ac:dyDescent="0.25">
      <c r="B39" s="150">
        <v>3391792435.2399998</v>
      </c>
      <c r="C39" s="150">
        <v>1538323323.0899999</v>
      </c>
      <c r="D39" s="150">
        <v>228581101.55090198</v>
      </c>
      <c r="E39" s="150">
        <v>314959196.54000002</v>
      </c>
      <c r="F39" s="150">
        <v>5473656056.4209023</v>
      </c>
      <c r="J39" s="202">
        <v>3306305065.6800003</v>
      </c>
      <c r="K39" s="202">
        <v>1479578875.0942013</v>
      </c>
      <c r="L39" s="202">
        <v>223072236.9499999</v>
      </c>
      <c r="M39" s="202">
        <v>307037072.45579898</v>
      </c>
      <c r="N39" s="202">
        <v>5315993250.1800003</v>
      </c>
    </row>
    <row r="40" spans="1:20" s="209" customFormat="1" ht="21" x14ac:dyDescent="0.35">
      <c r="G40" s="210"/>
      <c r="H40" s="211"/>
      <c r="I40" s="212"/>
      <c r="J40" s="212"/>
      <c r="K40" s="212"/>
      <c r="L40" s="212"/>
      <c r="M40" s="212"/>
      <c r="N40" s="212"/>
      <c r="O40" s="212"/>
      <c r="P40" s="212"/>
      <c r="Q40" s="212"/>
      <c r="R40" s="213"/>
      <c r="S40" s="213"/>
      <c r="T40" s="212"/>
    </row>
    <row r="41" spans="1:20" x14ac:dyDescent="0.25">
      <c r="B41" s="214">
        <f>+B34-B39</f>
        <v>0</v>
      </c>
      <c r="C41" s="214">
        <f>+C34-C39</f>
        <v>0</v>
      </c>
      <c r="D41" s="214">
        <f>+D34-D39</f>
        <v>-9.0193748474121094E-4</v>
      </c>
      <c r="E41" s="214">
        <f>+E34-E39</f>
        <v>0</v>
      </c>
      <c r="F41" s="214">
        <f>+F34-F39</f>
        <v>-9.0122222900390625E-4</v>
      </c>
      <c r="J41" s="202">
        <f>+J39-J34</f>
        <v>0</v>
      </c>
      <c r="K41" s="202">
        <f>+K39-K34</f>
        <v>0</v>
      </c>
      <c r="L41" s="202">
        <f>+L39-L34</f>
        <v>0</v>
      </c>
      <c r="M41" s="202">
        <f>+M39-M34</f>
        <v>0</v>
      </c>
      <c r="N41" s="202">
        <f>+N39-N34</f>
        <v>0</v>
      </c>
    </row>
    <row r="45" spans="1:20" x14ac:dyDescent="0.25">
      <c r="J45" s="202">
        <v>293232474.22781599</v>
      </c>
      <c r="K45" s="202">
        <v>106495160.739822</v>
      </c>
      <c r="L45" s="202">
        <v>17934007.506531999</v>
      </c>
      <c r="M45" s="202">
        <v>17378627.360698003</v>
      </c>
    </row>
    <row r="46" spans="1:20" x14ac:dyDescent="0.25">
      <c r="J46" s="202">
        <v>8699460.1154050007</v>
      </c>
      <c r="K46" s="202">
        <v>1169463.004733</v>
      </c>
      <c r="L46" s="202">
        <v>613830.67439000006</v>
      </c>
      <c r="M46" s="202">
        <v>627459.82056200004</v>
      </c>
    </row>
    <row r="47" spans="1:20" x14ac:dyDescent="0.25">
      <c r="J47" s="202">
        <v>113733374.70345098</v>
      </c>
      <c r="K47" s="202">
        <v>149059187.96911204</v>
      </c>
      <c r="L47" s="202">
        <v>20877055.341469005</v>
      </c>
      <c r="M47" s="202">
        <v>27228098.725009002</v>
      </c>
    </row>
    <row r="48" spans="1:20" x14ac:dyDescent="0.25">
      <c r="J48" s="202">
        <v>448244245.15704602</v>
      </c>
      <c r="K48" s="202">
        <v>60263826.548616</v>
      </c>
      <c r="L48" s="202">
        <v>21377147.204688001</v>
      </c>
      <c r="M48" s="202">
        <v>19670178.201524001</v>
      </c>
    </row>
    <row r="49" spans="10:13" x14ac:dyDescent="0.25">
      <c r="J49" s="202">
        <v>29589557.627022997</v>
      </c>
      <c r="K49" s="202">
        <v>3793302.3449229999</v>
      </c>
      <c r="L49" s="202">
        <v>1944002.9836599999</v>
      </c>
      <c r="M49" s="202">
        <v>1849853.8887529997</v>
      </c>
    </row>
    <row r="50" spans="10:13" x14ac:dyDescent="0.25">
      <c r="J50" s="202">
        <v>143321788.43602902</v>
      </c>
      <c r="K50" s="202">
        <v>72125682.694319993</v>
      </c>
      <c r="L50" s="202">
        <v>9028340.7233389989</v>
      </c>
      <c r="M50" s="202">
        <v>8125496.0456889998</v>
      </c>
    </row>
    <row r="51" spans="10:13" x14ac:dyDescent="0.25">
      <c r="J51" s="202">
        <v>51907585.444236994</v>
      </c>
      <c r="K51" s="202">
        <v>11429855.143662</v>
      </c>
      <c r="L51" s="202">
        <v>1439355.158512</v>
      </c>
      <c r="M51" s="202">
        <v>1597117.6826270001</v>
      </c>
    </row>
    <row r="52" spans="10:13" x14ac:dyDescent="0.25">
      <c r="J52" s="202">
        <v>134835877.32173401</v>
      </c>
      <c r="K52" s="202">
        <v>1446012.021985</v>
      </c>
      <c r="L52" s="202">
        <v>914621.72497500002</v>
      </c>
      <c r="M52" s="202">
        <v>743981.69171100005</v>
      </c>
    </row>
    <row r="53" spans="10:13" x14ac:dyDescent="0.25">
      <c r="J53" s="202">
        <v>200943936.38630801</v>
      </c>
      <c r="K53" s="202">
        <v>84855005.742045</v>
      </c>
      <c r="L53" s="202">
        <v>10888503.293113936</v>
      </c>
      <c r="M53" s="202">
        <v>10183936.057484001</v>
      </c>
    </row>
    <row r="54" spans="10:13" x14ac:dyDescent="0.25">
      <c r="J54" s="202">
        <v>380254431.32516199</v>
      </c>
      <c r="K54" s="202">
        <v>29338322.645192027</v>
      </c>
      <c r="L54" s="202">
        <v>35088174.969842002</v>
      </c>
      <c r="M54" s="202">
        <v>89029055.227859989</v>
      </c>
    </row>
    <row r="55" spans="10:13" x14ac:dyDescent="0.25">
      <c r="J55" s="202">
        <v>486930782.38165301</v>
      </c>
      <c r="K55" s="202">
        <v>568856024.56434798</v>
      </c>
      <c r="L55" s="202">
        <v>18364309.221987002</v>
      </c>
      <c r="M55" s="202">
        <v>61863180.144823998</v>
      </c>
    </row>
    <row r="56" spans="10:13" x14ac:dyDescent="0.25">
      <c r="J56" s="202">
        <v>263123041.624387</v>
      </c>
      <c r="K56" s="202">
        <v>53012485.261553399</v>
      </c>
      <c r="L56" s="202">
        <v>17986176.918808095</v>
      </c>
      <c r="M56" s="202">
        <v>13918507.049487501</v>
      </c>
    </row>
    <row r="57" spans="10:13" x14ac:dyDescent="0.25">
      <c r="J57" s="202">
        <v>119555578.69780791</v>
      </c>
      <c r="K57" s="202">
        <v>18402875.118550997</v>
      </c>
      <c r="L57" s="202">
        <v>7959789.9239077996</v>
      </c>
      <c r="M57" s="202">
        <v>7681025.4238105994</v>
      </c>
    </row>
    <row r="58" spans="10:13" x14ac:dyDescent="0.25">
      <c r="J58" s="202">
        <v>100894993.025939</v>
      </c>
      <c r="K58" s="202">
        <v>74371522.949802011</v>
      </c>
      <c r="L58" s="202">
        <v>7268440.3793930002</v>
      </c>
      <c r="M58" s="202">
        <v>4673814.2774170004</v>
      </c>
    </row>
    <row r="59" spans="10:13" x14ac:dyDescent="0.25">
      <c r="J59" s="202">
        <v>43698020.055209704</v>
      </c>
      <c r="K59" s="202">
        <v>107763462.36363779</v>
      </c>
      <c r="L59" s="202">
        <v>4392073.3200341631</v>
      </c>
      <c r="M59" s="202">
        <v>1000106.6187410217</v>
      </c>
    </row>
    <row r="60" spans="10:13" x14ac:dyDescent="0.25">
      <c r="J60" s="202">
        <v>21501731.453754999</v>
      </c>
      <c r="K60" s="202">
        <v>5610763.3364909999</v>
      </c>
      <c r="L60" s="202">
        <v>1284707.7040929999</v>
      </c>
      <c r="M60" s="202">
        <v>1037188.1350229998</v>
      </c>
    </row>
    <row r="61" spans="10:13" x14ac:dyDescent="0.25">
      <c r="J61" s="202">
        <v>59568746.790335998</v>
      </c>
      <c r="K61" s="202">
        <v>9628662.598576</v>
      </c>
      <c r="L61" s="202">
        <v>5151298.9699669993</v>
      </c>
      <c r="M61" s="202">
        <v>5377036.0570509983</v>
      </c>
    </row>
    <row r="62" spans="10:13" x14ac:dyDescent="0.25">
      <c r="J62" s="202">
        <v>67971907.931999996</v>
      </c>
      <c r="K62" s="202">
        <v>11246434.728</v>
      </c>
      <c r="L62" s="202">
        <v>3293592.3839999996</v>
      </c>
      <c r="M62" s="202">
        <v>2951279.148</v>
      </c>
    </row>
    <row r="63" spans="10:13" x14ac:dyDescent="0.25">
      <c r="J63" s="202">
        <v>56541861.487524986</v>
      </c>
      <c r="K63" s="202">
        <v>37473814.656696975</v>
      </c>
      <c r="L63" s="202">
        <v>18060427.781689852</v>
      </c>
      <c r="M63" s="202">
        <v>5289869.9330658019</v>
      </c>
    </row>
    <row r="64" spans="10:13" x14ac:dyDescent="0.25">
      <c r="J64" s="202">
        <v>65137184.310031019</v>
      </c>
      <c r="K64" s="202">
        <v>19178315.698188998</v>
      </c>
      <c r="L64" s="202">
        <v>4122313.4407899999</v>
      </c>
      <c r="M64" s="202">
        <v>3563354.3420839999</v>
      </c>
    </row>
    <row r="65" spans="10:13" x14ac:dyDescent="0.25">
      <c r="J65" s="202">
        <v>69393018.256891996</v>
      </c>
      <c r="K65" s="202">
        <v>9757846.2827610001</v>
      </c>
      <c r="L65" s="202">
        <v>4680161.5009590006</v>
      </c>
      <c r="M65" s="202">
        <v>6737338.0579530001</v>
      </c>
    </row>
    <row r="66" spans="10:13" x14ac:dyDescent="0.25">
      <c r="J66" s="202">
        <v>1846984.0486559998</v>
      </c>
      <c r="K66" s="202">
        <v>2482176.2756629996</v>
      </c>
      <c r="L66" s="202">
        <v>346861.79043399997</v>
      </c>
      <c r="M66" s="202">
        <v>2501154.6857429994</v>
      </c>
    </row>
    <row r="67" spans="10:13" x14ac:dyDescent="0.25">
      <c r="J67" s="202">
        <v>18384301.238681003</v>
      </c>
      <c r="K67" s="202">
        <v>1758376.8091259999</v>
      </c>
      <c r="L67" s="202">
        <v>1165481.58005</v>
      </c>
      <c r="M67" s="202">
        <v>1726125.5581240002</v>
      </c>
    </row>
    <row r="68" spans="10:13" x14ac:dyDescent="0.25">
      <c r="J68" s="202">
        <v>27485979.349084001</v>
      </c>
      <c r="K68" s="202">
        <v>7003956.4695609985</v>
      </c>
      <c r="L68" s="202">
        <v>1799825.9320690001</v>
      </c>
      <c r="M68" s="202">
        <v>2161430.4048389997</v>
      </c>
    </row>
    <row r="69" spans="10:13" x14ac:dyDescent="0.25">
      <c r="J69" s="202">
        <v>16488773.837839998</v>
      </c>
      <c r="K69" s="202">
        <v>9781105.5155539997</v>
      </c>
      <c r="L69" s="202">
        <v>917114.82800900005</v>
      </c>
      <c r="M69" s="202">
        <v>1178564.5796370001</v>
      </c>
    </row>
    <row r="70" spans="10:13" x14ac:dyDescent="0.25">
      <c r="J70" s="202">
        <v>57038792.382368006</v>
      </c>
      <c r="K70" s="202">
        <v>13335808.935978001</v>
      </c>
      <c r="L70" s="202">
        <v>4184090.3357579997</v>
      </c>
      <c r="M70" s="202">
        <v>6342468.5247099996</v>
      </c>
    </row>
    <row r="71" spans="10:13" x14ac:dyDescent="0.25">
      <c r="J71" s="202">
        <v>21797158.056005001</v>
      </c>
      <c r="K71" s="202">
        <v>8654692.6876769997</v>
      </c>
      <c r="L71" s="202">
        <v>1733886.7551040002</v>
      </c>
      <c r="M71" s="202">
        <v>2343232.049294</v>
      </c>
    </row>
    <row r="72" spans="10:13" x14ac:dyDescent="0.25">
      <c r="J72" s="202">
        <v>4183480.0076199998</v>
      </c>
      <c r="K72" s="202">
        <v>1284731.9876259998</v>
      </c>
      <c r="L72" s="202">
        <v>256644.602426</v>
      </c>
      <c r="M72" s="202">
        <v>257592.76407799998</v>
      </c>
    </row>
  </sheetData>
  <mergeCells count="6">
    <mergeCell ref="J33:Q33"/>
    <mergeCell ref="A1:T1"/>
    <mergeCell ref="A3:A4"/>
    <mergeCell ref="B3:I3"/>
    <mergeCell ref="J3:Q3"/>
    <mergeCell ref="R3:T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6" sqref="B6"/>
    </sheetView>
  </sheetViews>
  <sheetFormatPr defaultRowHeight="21" x14ac:dyDescent="0.2"/>
  <cols>
    <col min="1" max="1" width="15.25" style="217" customWidth="1"/>
    <col min="2" max="2" width="106.75" style="217" customWidth="1"/>
    <col min="3" max="256" width="9" style="108"/>
    <col min="257" max="257" width="15.25" style="108" customWidth="1"/>
    <col min="258" max="258" width="106.75" style="108" customWidth="1"/>
    <col min="259" max="512" width="9" style="108"/>
    <col min="513" max="513" width="15.25" style="108" customWidth="1"/>
    <col min="514" max="514" width="106.75" style="108" customWidth="1"/>
    <col min="515" max="768" width="9" style="108"/>
    <col min="769" max="769" width="15.25" style="108" customWidth="1"/>
    <col min="770" max="770" width="106.75" style="108" customWidth="1"/>
    <col min="771" max="1024" width="9" style="108"/>
    <col min="1025" max="1025" width="15.25" style="108" customWidth="1"/>
    <col min="1026" max="1026" width="106.75" style="108" customWidth="1"/>
    <col min="1027" max="1280" width="9" style="108"/>
    <col min="1281" max="1281" width="15.25" style="108" customWidth="1"/>
    <col min="1282" max="1282" width="106.75" style="108" customWidth="1"/>
    <col min="1283" max="1536" width="9" style="108"/>
    <col min="1537" max="1537" width="15.25" style="108" customWidth="1"/>
    <col min="1538" max="1538" width="106.75" style="108" customWidth="1"/>
    <col min="1539" max="1792" width="9" style="108"/>
    <col min="1793" max="1793" width="15.25" style="108" customWidth="1"/>
    <col min="1794" max="1794" width="106.75" style="108" customWidth="1"/>
    <col min="1795" max="2048" width="9" style="108"/>
    <col min="2049" max="2049" width="15.25" style="108" customWidth="1"/>
    <col min="2050" max="2050" width="106.75" style="108" customWidth="1"/>
    <col min="2051" max="2304" width="9" style="108"/>
    <col min="2305" max="2305" width="15.25" style="108" customWidth="1"/>
    <col min="2306" max="2306" width="106.75" style="108" customWidth="1"/>
    <col min="2307" max="2560" width="9" style="108"/>
    <col min="2561" max="2561" width="15.25" style="108" customWidth="1"/>
    <col min="2562" max="2562" width="106.75" style="108" customWidth="1"/>
    <col min="2563" max="2816" width="9" style="108"/>
    <col min="2817" max="2817" width="15.25" style="108" customWidth="1"/>
    <col min="2818" max="2818" width="106.75" style="108" customWidth="1"/>
    <col min="2819" max="3072" width="9" style="108"/>
    <col min="3073" max="3073" width="15.25" style="108" customWidth="1"/>
    <col min="3074" max="3074" width="106.75" style="108" customWidth="1"/>
    <col min="3075" max="3328" width="9" style="108"/>
    <col min="3329" max="3329" width="15.25" style="108" customWidth="1"/>
    <col min="3330" max="3330" width="106.75" style="108" customWidth="1"/>
    <col min="3331" max="3584" width="9" style="108"/>
    <col min="3585" max="3585" width="15.25" style="108" customWidth="1"/>
    <col min="3586" max="3586" width="106.75" style="108" customWidth="1"/>
    <col min="3587" max="3840" width="9" style="108"/>
    <col min="3841" max="3841" width="15.25" style="108" customWidth="1"/>
    <col min="3842" max="3842" width="106.75" style="108" customWidth="1"/>
    <col min="3843" max="4096" width="9" style="108"/>
    <col min="4097" max="4097" width="15.25" style="108" customWidth="1"/>
    <col min="4098" max="4098" width="106.75" style="108" customWidth="1"/>
    <col min="4099" max="4352" width="9" style="108"/>
    <col min="4353" max="4353" width="15.25" style="108" customWidth="1"/>
    <col min="4354" max="4354" width="106.75" style="108" customWidth="1"/>
    <col min="4355" max="4608" width="9" style="108"/>
    <col min="4609" max="4609" width="15.25" style="108" customWidth="1"/>
    <col min="4610" max="4610" width="106.75" style="108" customWidth="1"/>
    <col min="4611" max="4864" width="9" style="108"/>
    <col min="4865" max="4865" width="15.25" style="108" customWidth="1"/>
    <col min="4866" max="4866" width="106.75" style="108" customWidth="1"/>
    <col min="4867" max="5120" width="9" style="108"/>
    <col min="5121" max="5121" width="15.25" style="108" customWidth="1"/>
    <col min="5122" max="5122" width="106.75" style="108" customWidth="1"/>
    <col min="5123" max="5376" width="9" style="108"/>
    <col min="5377" max="5377" width="15.25" style="108" customWidth="1"/>
    <col min="5378" max="5378" width="106.75" style="108" customWidth="1"/>
    <col min="5379" max="5632" width="9" style="108"/>
    <col min="5633" max="5633" width="15.25" style="108" customWidth="1"/>
    <col min="5634" max="5634" width="106.75" style="108" customWidth="1"/>
    <col min="5635" max="5888" width="9" style="108"/>
    <col min="5889" max="5889" width="15.25" style="108" customWidth="1"/>
    <col min="5890" max="5890" width="106.75" style="108" customWidth="1"/>
    <col min="5891" max="6144" width="9" style="108"/>
    <col min="6145" max="6145" width="15.25" style="108" customWidth="1"/>
    <col min="6146" max="6146" width="106.75" style="108" customWidth="1"/>
    <col min="6147" max="6400" width="9" style="108"/>
    <col min="6401" max="6401" width="15.25" style="108" customWidth="1"/>
    <col min="6402" max="6402" width="106.75" style="108" customWidth="1"/>
    <col min="6403" max="6656" width="9" style="108"/>
    <col min="6657" max="6657" width="15.25" style="108" customWidth="1"/>
    <col min="6658" max="6658" width="106.75" style="108" customWidth="1"/>
    <col min="6659" max="6912" width="9" style="108"/>
    <col min="6913" max="6913" width="15.25" style="108" customWidth="1"/>
    <col min="6914" max="6914" width="106.75" style="108" customWidth="1"/>
    <col min="6915" max="7168" width="9" style="108"/>
    <col min="7169" max="7169" width="15.25" style="108" customWidth="1"/>
    <col min="7170" max="7170" width="106.75" style="108" customWidth="1"/>
    <col min="7171" max="7424" width="9" style="108"/>
    <col min="7425" max="7425" width="15.25" style="108" customWidth="1"/>
    <col min="7426" max="7426" width="106.75" style="108" customWidth="1"/>
    <col min="7427" max="7680" width="9" style="108"/>
    <col min="7681" max="7681" width="15.25" style="108" customWidth="1"/>
    <col min="7682" max="7682" width="106.75" style="108" customWidth="1"/>
    <col min="7683" max="7936" width="9" style="108"/>
    <col min="7937" max="7937" width="15.25" style="108" customWidth="1"/>
    <col min="7938" max="7938" width="106.75" style="108" customWidth="1"/>
    <col min="7939" max="8192" width="9" style="108"/>
    <col min="8193" max="8193" width="15.25" style="108" customWidth="1"/>
    <col min="8194" max="8194" width="106.75" style="108" customWidth="1"/>
    <col min="8195" max="8448" width="9" style="108"/>
    <col min="8449" max="8449" width="15.25" style="108" customWidth="1"/>
    <col min="8450" max="8450" width="106.75" style="108" customWidth="1"/>
    <col min="8451" max="8704" width="9" style="108"/>
    <col min="8705" max="8705" width="15.25" style="108" customWidth="1"/>
    <col min="8706" max="8706" width="106.75" style="108" customWidth="1"/>
    <col min="8707" max="8960" width="9" style="108"/>
    <col min="8961" max="8961" width="15.25" style="108" customWidth="1"/>
    <col min="8962" max="8962" width="106.75" style="108" customWidth="1"/>
    <col min="8963" max="9216" width="9" style="108"/>
    <col min="9217" max="9217" width="15.25" style="108" customWidth="1"/>
    <col min="9218" max="9218" width="106.75" style="108" customWidth="1"/>
    <col min="9219" max="9472" width="9" style="108"/>
    <col min="9473" max="9473" width="15.25" style="108" customWidth="1"/>
    <col min="9474" max="9474" width="106.75" style="108" customWidth="1"/>
    <col min="9475" max="9728" width="9" style="108"/>
    <col min="9729" max="9729" width="15.25" style="108" customWidth="1"/>
    <col min="9730" max="9730" width="106.75" style="108" customWidth="1"/>
    <col min="9731" max="9984" width="9" style="108"/>
    <col min="9985" max="9985" width="15.25" style="108" customWidth="1"/>
    <col min="9986" max="9986" width="106.75" style="108" customWidth="1"/>
    <col min="9987" max="10240" width="9" style="108"/>
    <col min="10241" max="10241" width="15.25" style="108" customWidth="1"/>
    <col min="10242" max="10242" width="106.75" style="108" customWidth="1"/>
    <col min="10243" max="10496" width="9" style="108"/>
    <col min="10497" max="10497" width="15.25" style="108" customWidth="1"/>
    <col min="10498" max="10498" width="106.75" style="108" customWidth="1"/>
    <col min="10499" max="10752" width="9" style="108"/>
    <col min="10753" max="10753" width="15.25" style="108" customWidth="1"/>
    <col min="10754" max="10754" width="106.75" style="108" customWidth="1"/>
    <col min="10755" max="11008" width="9" style="108"/>
    <col min="11009" max="11009" width="15.25" style="108" customWidth="1"/>
    <col min="11010" max="11010" width="106.75" style="108" customWidth="1"/>
    <col min="11011" max="11264" width="9" style="108"/>
    <col min="11265" max="11265" width="15.25" style="108" customWidth="1"/>
    <col min="11266" max="11266" width="106.75" style="108" customWidth="1"/>
    <col min="11267" max="11520" width="9" style="108"/>
    <col min="11521" max="11521" width="15.25" style="108" customWidth="1"/>
    <col min="11522" max="11522" width="106.75" style="108" customWidth="1"/>
    <col min="11523" max="11776" width="9" style="108"/>
    <col min="11777" max="11777" width="15.25" style="108" customWidth="1"/>
    <col min="11778" max="11778" width="106.75" style="108" customWidth="1"/>
    <col min="11779" max="12032" width="9" style="108"/>
    <col min="12033" max="12033" width="15.25" style="108" customWidth="1"/>
    <col min="12034" max="12034" width="106.75" style="108" customWidth="1"/>
    <col min="12035" max="12288" width="9" style="108"/>
    <col min="12289" max="12289" width="15.25" style="108" customWidth="1"/>
    <col min="12290" max="12290" width="106.75" style="108" customWidth="1"/>
    <col min="12291" max="12544" width="9" style="108"/>
    <col min="12545" max="12545" width="15.25" style="108" customWidth="1"/>
    <col min="12546" max="12546" width="106.75" style="108" customWidth="1"/>
    <col min="12547" max="12800" width="9" style="108"/>
    <col min="12801" max="12801" width="15.25" style="108" customWidth="1"/>
    <col min="12802" max="12802" width="106.75" style="108" customWidth="1"/>
    <col min="12803" max="13056" width="9" style="108"/>
    <col min="13057" max="13057" width="15.25" style="108" customWidth="1"/>
    <col min="13058" max="13058" width="106.75" style="108" customWidth="1"/>
    <col min="13059" max="13312" width="9" style="108"/>
    <col min="13313" max="13313" width="15.25" style="108" customWidth="1"/>
    <col min="13314" max="13314" width="106.75" style="108" customWidth="1"/>
    <col min="13315" max="13568" width="9" style="108"/>
    <col min="13569" max="13569" width="15.25" style="108" customWidth="1"/>
    <col min="13570" max="13570" width="106.75" style="108" customWidth="1"/>
    <col min="13571" max="13824" width="9" style="108"/>
    <col min="13825" max="13825" width="15.25" style="108" customWidth="1"/>
    <col min="13826" max="13826" width="106.75" style="108" customWidth="1"/>
    <col min="13827" max="14080" width="9" style="108"/>
    <col min="14081" max="14081" width="15.25" style="108" customWidth="1"/>
    <col min="14082" max="14082" width="106.75" style="108" customWidth="1"/>
    <col min="14083" max="14336" width="9" style="108"/>
    <col min="14337" max="14337" width="15.25" style="108" customWidth="1"/>
    <col min="14338" max="14338" width="106.75" style="108" customWidth="1"/>
    <col min="14339" max="14592" width="9" style="108"/>
    <col min="14593" max="14593" width="15.25" style="108" customWidth="1"/>
    <col min="14594" max="14594" width="106.75" style="108" customWidth="1"/>
    <col min="14595" max="14848" width="9" style="108"/>
    <col min="14849" max="14849" width="15.25" style="108" customWidth="1"/>
    <col min="14850" max="14850" width="106.75" style="108" customWidth="1"/>
    <col min="14851" max="15104" width="9" style="108"/>
    <col min="15105" max="15105" width="15.25" style="108" customWidth="1"/>
    <col min="15106" max="15106" width="106.75" style="108" customWidth="1"/>
    <col min="15107" max="15360" width="9" style="108"/>
    <col min="15361" max="15361" width="15.25" style="108" customWidth="1"/>
    <col min="15362" max="15362" width="106.75" style="108" customWidth="1"/>
    <col min="15363" max="15616" width="9" style="108"/>
    <col min="15617" max="15617" width="15.25" style="108" customWidth="1"/>
    <col min="15618" max="15618" width="106.75" style="108" customWidth="1"/>
    <col min="15619" max="15872" width="9" style="108"/>
    <col min="15873" max="15873" width="15.25" style="108" customWidth="1"/>
    <col min="15874" max="15874" width="106.75" style="108" customWidth="1"/>
    <col min="15875" max="16128" width="9" style="108"/>
    <col min="16129" max="16129" width="15.25" style="108" customWidth="1"/>
    <col min="16130" max="16130" width="106.75" style="108" customWidth="1"/>
    <col min="16131" max="16384" width="9" style="108"/>
  </cols>
  <sheetData>
    <row r="1" spans="1:2" x14ac:dyDescent="0.2">
      <c r="A1" s="106" t="s">
        <v>454</v>
      </c>
    </row>
    <row r="2" spans="1:2" x14ac:dyDescent="0.2">
      <c r="A2" s="109" t="s">
        <v>455</v>
      </c>
    </row>
    <row r="3" spans="1:2" ht="126" x14ac:dyDescent="0.2">
      <c r="A3" s="113" t="s">
        <v>424</v>
      </c>
      <c r="B3" s="111" t="s">
        <v>456</v>
      </c>
    </row>
    <row r="4" spans="1:2" ht="63" x14ac:dyDescent="0.2">
      <c r="A4" s="200" t="s">
        <v>442</v>
      </c>
      <c r="B4" s="111" t="s">
        <v>457</v>
      </c>
    </row>
    <row r="5" spans="1:2" s="112" customFormat="1" ht="78.75" x14ac:dyDescent="0.2">
      <c r="A5" s="200" t="s">
        <v>451</v>
      </c>
      <c r="B5" s="111" t="s">
        <v>458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
  <sheetViews>
    <sheetView topLeftCell="J22" workbookViewId="0">
      <selection activeCell="N40" sqref="N40"/>
    </sheetView>
  </sheetViews>
  <sheetFormatPr defaultRowHeight="18.75" x14ac:dyDescent="0.3"/>
  <cols>
    <col min="1" max="1" width="28" style="228" customWidth="1"/>
    <col min="2" max="3" width="14.375" style="226" customWidth="1"/>
    <col min="4" max="5" width="13.125" style="226" customWidth="1"/>
    <col min="6" max="6" width="14.375" style="226" customWidth="1"/>
    <col min="7" max="7" width="8.125" style="228" customWidth="1"/>
    <col min="8" max="8" width="6.125" style="228" customWidth="1"/>
    <col min="9" max="9" width="11" style="226" customWidth="1"/>
    <col min="10" max="10" width="15.875" style="226" customWidth="1"/>
    <col min="11" max="11" width="14.375" style="226" customWidth="1"/>
    <col min="12" max="13" width="13.125" style="226" customWidth="1"/>
    <col min="14" max="14" width="14.375" style="226" customWidth="1"/>
    <col min="15" max="17" width="11" style="226" customWidth="1"/>
    <col min="18" max="18" width="6.875" style="228" customWidth="1"/>
    <col min="19" max="19" width="7" style="228" customWidth="1"/>
    <col min="20" max="20" width="7.875" style="228" customWidth="1"/>
    <col min="21" max="256" width="9" style="228"/>
    <col min="257" max="257" width="28" style="228" customWidth="1"/>
    <col min="258" max="259" width="14.375" style="228" customWidth="1"/>
    <col min="260" max="261" width="13.125" style="228" customWidth="1"/>
    <col min="262" max="262" width="14.375" style="228" customWidth="1"/>
    <col min="263" max="263" width="8.125" style="228" customWidth="1"/>
    <col min="264" max="264" width="6.125" style="228" customWidth="1"/>
    <col min="265" max="265" width="11" style="228" customWidth="1"/>
    <col min="266" max="266" width="15.875" style="228" customWidth="1"/>
    <col min="267" max="267" width="14.375" style="228" customWidth="1"/>
    <col min="268" max="269" width="13.125" style="228" customWidth="1"/>
    <col min="270" max="270" width="14.375" style="228" customWidth="1"/>
    <col min="271" max="273" width="11" style="228" customWidth="1"/>
    <col min="274" max="274" width="6.875" style="228" customWidth="1"/>
    <col min="275" max="275" width="7" style="228" customWidth="1"/>
    <col min="276" max="276" width="7.875" style="228" customWidth="1"/>
    <col min="277" max="512" width="9" style="228"/>
    <col min="513" max="513" width="28" style="228" customWidth="1"/>
    <col min="514" max="515" width="14.375" style="228" customWidth="1"/>
    <col min="516" max="517" width="13.125" style="228" customWidth="1"/>
    <col min="518" max="518" width="14.375" style="228" customWidth="1"/>
    <col min="519" max="519" width="8.125" style="228" customWidth="1"/>
    <col min="520" max="520" width="6.125" style="228" customWidth="1"/>
    <col min="521" max="521" width="11" style="228" customWidth="1"/>
    <col min="522" max="522" width="15.875" style="228" customWidth="1"/>
    <col min="523" max="523" width="14.375" style="228" customWidth="1"/>
    <col min="524" max="525" width="13.125" style="228" customWidth="1"/>
    <col min="526" max="526" width="14.375" style="228" customWidth="1"/>
    <col min="527" max="529" width="11" style="228" customWidth="1"/>
    <col min="530" max="530" width="6.875" style="228" customWidth="1"/>
    <col min="531" max="531" width="7" style="228" customWidth="1"/>
    <col min="532" max="532" width="7.875" style="228" customWidth="1"/>
    <col min="533" max="768" width="9" style="228"/>
    <col min="769" max="769" width="28" style="228" customWidth="1"/>
    <col min="770" max="771" width="14.375" style="228" customWidth="1"/>
    <col min="772" max="773" width="13.125" style="228" customWidth="1"/>
    <col min="774" max="774" width="14.375" style="228" customWidth="1"/>
    <col min="775" max="775" width="8.125" style="228" customWidth="1"/>
    <col min="776" max="776" width="6.125" style="228" customWidth="1"/>
    <col min="777" max="777" width="11" style="228" customWidth="1"/>
    <col min="778" max="778" width="15.875" style="228" customWidth="1"/>
    <col min="779" max="779" width="14.375" style="228" customWidth="1"/>
    <col min="780" max="781" width="13.125" style="228" customWidth="1"/>
    <col min="782" max="782" width="14.375" style="228" customWidth="1"/>
    <col min="783" max="785" width="11" style="228" customWidth="1"/>
    <col min="786" max="786" width="6.875" style="228" customWidth="1"/>
    <col min="787" max="787" width="7" style="228" customWidth="1"/>
    <col min="788" max="788" width="7.875" style="228" customWidth="1"/>
    <col min="789" max="1024" width="9" style="228"/>
    <col min="1025" max="1025" width="28" style="228" customWidth="1"/>
    <col min="1026" max="1027" width="14.375" style="228" customWidth="1"/>
    <col min="1028" max="1029" width="13.125" style="228" customWidth="1"/>
    <col min="1030" max="1030" width="14.375" style="228" customWidth="1"/>
    <col min="1031" max="1031" width="8.125" style="228" customWidth="1"/>
    <col min="1032" max="1032" width="6.125" style="228" customWidth="1"/>
    <col min="1033" max="1033" width="11" style="228" customWidth="1"/>
    <col min="1034" max="1034" width="15.875" style="228" customWidth="1"/>
    <col min="1035" max="1035" width="14.375" style="228" customWidth="1"/>
    <col min="1036" max="1037" width="13.125" style="228" customWidth="1"/>
    <col min="1038" max="1038" width="14.375" style="228" customWidth="1"/>
    <col min="1039" max="1041" width="11" style="228" customWidth="1"/>
    <col min="1042" max="1042" width="6.875" style="228" customWidth="1"/>
    <col min="1043" max="1043" width="7" style="228" customWidth="1"/>
    <col min="1044" max="1044" width="7.875" style="228" customWidth="1"/>
    <col min="1045" max="1280" width="9" style="228"/>
    <col min="1281" max="1281" width="28" style="228" customWidth="1"/>
    <col min="1282" max="1283" width="14.375" style="228" customWidth="1"/>
    <col min="1284" max="1285" width="13.125" style="228" customWidth="1"/>
    <col min="1286" max="1286" width="14.375" style="228" customWidth="1"/>
    <col min="1287" max="1287" width="8.125" style="228" customWidth="1"/>
    <col min="1288" max="1288" width="6.125" style="228" customWidth="1"/>
    <col min="1289" max="1289" width="11" style="228" customWidth="1"/>
    <col min="1290" max="1290" width="15.875" style="228" customWidth="1"/>
    <col min="1291" max="1291" width="14.375" style="228" customWidth="1"/>
    <col min="1292" max="1293" width="13.125" style="228" customWidth="1"/>
    <col min="1294" max="1294" width="14.375" style="228" customWidth="1"/>
    <col min="1295" max="1297" width="11" style="228" customWidth="1"/>
    <col min="1298" max="1298" width="6.875" style="228" customWidth="1"/>
    <col min="1299" max="1299" width="7" style="228" customWidth="1"/>
    <col min="1300" max="1300" width="7.875" style="228" customWidth="1"/>
    <col min="1301" max="1536" width="9" style="228"/>
    <col min="1537" max="1537" width="28" style="228" customWidth="1"/>
    <col min="1538" max="1539" width="14.375" style="228" customWidth="1"/>
    <col min="1540" max="1541" width="13.125" style="228" customWidth="1"/>
    <col min="1542" max="1542" width="14.375" style="228" customWidth="1"/>
    <col min="1543" max="1543" width="8.125" style="228" customWidth="1"/>
    <col min="1544" max="1544" width="6.125" style="228" customWidth="1"/>
    <col min="1545" max="1545" width="11" style="228" customWidth="1"/>
    <col min="1546" max="1546" width="15.875" style="228" customWidth="1"/>
    <col min="1547" max="1547" width="14.375" style="228" customWidth="1"/>
    <col min="1548" max="1549" width="13.125" style="228" customWidth="1"/>
    <col min="1550" max="1550" width="14.375" style="228" customWidth="1"/>
    <col min="1551" max="1553" width="11" style="228" customWidth="1"/>
    <col min="1554" max="1554" width="6.875" style="228" customWidth="1"/>
    <col min="1555" max="1555" width="7" style="228" customWidth="1"/>
    <col min="1556" max="1556" width="7.875" style="228" customWidth="1"/>
    <col min="1557" max="1792" width="9" style="228"/>
    <col min="1793" max="1793" width="28" style="228" customWidth="1"/>
    <col min="1794" max="1795" width="14.375" style="228" customWidth="1"/>
    <col min="1796" max="1797" width="13.125" style="228" customWidth="1"/>
    <col min="1798" max="1798" width="14.375" style="228" customWidth="1"/>
    <col min="1799" max="1799" width="8.125" style="228" customWidth="1"/>
    <col min="1800" max="1800" width="6.125" style="228" customWidth="1"/>
    <col min="1801" max="1801" width="11" style="228" customWidth="1"/>
    <col min="1802" max="1802" width="15.875" style="228" customWidth="1"/>
    <col min="1803" max="1803" width="14.375" style="228" customWidth="1"/>
    <col min="1804" max="1805" width="13.125" style="228" customWidth="1"/>
    <col min="1806" max="1806" width="14.375" style="228" customWidth="1"/>
    <col min="1807" max="1809" width="11" style="228" customWidth="1"/>
    <col min="1810" max="1810" width="6.875" style="228" customWidth="1"/>
    <col min="1811" max="1811" width="7" style="228" customWidth="1"/>
    <col min="1812" max="1812" width="7.875" style="228" customWidth="1"/>
    <col min="1813" max="2048" width="9" style="228"/>
    <col min="2049" max="2049" width="28" style="228" customWidth="1"/>
    <col min="2050" max="2051" width="14.375" style="228" customWidth="1"/>
    <col min="2052" max="2053" width="13.125" style="228" customWidth="1"/>
    <col min="2054" max="2054" width="14.375" style="228" customWidth="1"/>
    <col min="2055" max="2055" width="8.125" style="228" customWidth="1"/>
    <col min="2056" max="2056" width="6.125" style="228" customWidth="1"/>
    <col min="2057" max="2057" width="11" style="228" customWidth="1"/>
    <col min="2058" max="2058" width="15.875" style="228" customWidth="1"/>
    <col min="2059" max="2059" width="14.375" style="228" customWidth="1"/>
    <col min="2060" max="2061" width="13.125" style="228" customWidth="1"/>
    <col min="2062" max="2062" width="14.375" style="228" customWidth="1"/>
    <col min="2063" max="2065" width="11" style="228" customWidth="1"/>
    <col min="2066" max="2066" width="6.875" style="228" customWidth="1"/>
    <col min="2067" max="2067" width="7" style="228" customWidth="1"/>
    <col min="2068" max="2068" width="7.875" style="228" customWidth="1"/>
    <col min="2069" max="2304" width="9" style="228"/>
    <col min="2305" max="2305" width="28" style="228" customWidth="1"/>
    <col min="2306" max="2307" width="14.375" style="228" customWidth="1"/>
    <col min="2308" max="2309" width="13.125" style="228" customWidth="1"/>
    <col min="2310" max="2310" width="14.375" style="228" customWidth="1"/>
    <col min="2311" max="2311" width="8.125" style="228" customWidth="1"/>
    <col min="2312" max="2312" width="6.125" style="228" customWidth="1"/>
    <col min="2313" max="2313" width="11" style="228" customWidth="1"/>
    <col min="2314" max="2314" width="15.875" style="228" customWidth="1"/>
    <col min="2315" max="2315" width="14.375" style="228" customWidth="1"/>
    <col min="2316" max="2317" width="13.125" style="228" customWidth="1"/>
    <col min="2318" max="2318" width="14.375" style="228" customWidth="1"/>
    <col min="2319" max="2321" width="11" style="228" customWidth="1"/>
    <col min="2322" max="2322" width="6.875" style="228" customWidth="1"/>
    <col min="2323" max="2323" width="7" style="228" customWidth="1"/>
    <col min="2324" max="2324" width="7.875" style="228" customWidth="1"/>
    <col min="2325" max="2560" width="9" style="228"/>
    <col min="2561" max="2561" width="28" style="228" customWidth="1"/>
    <col min="2562" max="2563" width="14.375" style="228" customWidth="1"/>
    <col min="2564" max="2565" width="13.125" style="228" customWidth="1"/>
    <col min="2566" max="2566" width="14.375" style="228" customWidth="1"/>
    <col min="2567" max="2567" width="8.125" style="228" customWidth="1"/>
    <col min="2568" max="2568" width="6.125" style="228" customWidth="1"/>
    <col min="2569" max="2569" width="11" style="228" customWidth="1"/>
    <col min="2570" max="2570" width="15.875" style="228" customWidth="1"/>
    <col min="2571" max="2571" width="14.375" style="228" customWidth="1"/>
    <col min="2572" max="2573" width="13.125" style="228" customWidth="1"/>
    <col min="2574" max="2574" width="14.375" style="228" customWidth="1"/>
    <col min="2575" max="2577" width="11" style="228" customWidth="1"/>
    <col min="2578" max="2578" width="6.875" style="228" customWidth="1"/>
    <col min="2579" max="2579" width="7" style="228" customWidth="1"/>
    <col min="2580" max="2580" width="7.875" style="228" customWidth="1"/>
    <col min="2581" max="2816" width="9" style="228"/>
    <col min="2817" max="2817" width="28" style="228" customWidth="1"/>
    <col min="2818" max="2819" width="14.375" style="228" customWidth="1"/>
    <col min="2820" max="2821" width="13.125" style="228" customWidth="1"/>
    <col min="2822" max="2822" width="14.375" style="228" customWidth="1"/>
    <col min="2823" max="2823" width="8.125" style="228" customWidth="1"/>
    <col min="2824" max="2824" width="6.125" style="228" customWidth="1"/>
    <col min="2825" max="2825" width="11" style="228" customWidth="1"/>
    <col min="2826" max="2826" width="15.875" style="228" customWidth="1"/>
    <col min="2827" max="2827" width="14.375" style="228" customWidth="1"/>
    <col min="2828" max="2829" width="13.125" style="228" customWidth="1"/>
    <col min="2830" max="2830" width="14.375" style="228" customWidth="1"/>
    <col min="2831" max="2833" width="11" style="228" customWidth="1"/>
    <col min="2834" max="2834" width="6.875" style="228" customWidth="1"/>
    <col min="2835" max="2835" width="7" style="228" customWidth="1"/>
    <col min="2836" max="2836" width="7.875" style="228" customWidth="1"/>
    <col min="2837" max="3072" width="9" style="228"/>
    <col min="3073" max="3073" width="28" style="228" customWidth="1"/>
    <col min="3074" max="3075" width="14.375" style="228" customWidth="1"/>
    <col min="3076" max="3077" width="13.125" style="228" customWidth="1"/>
    <col min="3078" max="3078" width="14.375" style="228" customWidth="1"/>
    <col min="3079" max="3079" width="8.125" style="228" customWidth="1"/>
    <col min="3080" max="3080" width="6.125" style="228" customWidth="1"/>
    <col min="3081" max="3081" width="11" style="228" customWidth="1"/>
    <col min="3082" max="3082" width="15.875" style="228" customWidth="1"/>
    <col min="3083" max="3083" width="14.375" style="228" customWidth="1"/>
    <col min="3084" max="3085" width="13.125" style="228" customWidth="1"/>
    <col min="3086" max="3086" width="14.375" style="228" customWidth="1"/>
    <col min="3087" max="3089" width="11" style="228" customWidth="1"/>
    <col min="3090" max="3090" width="6.875" style="228" customWidth="1"/>
    <col min="3091" max="3091" width="7" style="228" customWidth="1"/>
    <col min="3092" max="3092" width="7.875" style="228" customWidth="1"/>
    <col min="3093" max="3328" width="9" style="228"/>
    <col min="3329" max="3329" width="28" style="228" customWidth="1"/>
    <col min="3330" max="3331" width="14.375" style="228" customWidth="1"/>
    <col min="3332" max="3333" width="13.125" style="228" customWidth="1"/>
    <col min="3334" max="3334" width="14.375" style="228" customWidth="1"/>
    <col min="3335" max="3335" width="8.125" style="228" customWidth="1"/>
    <col min="3336" max="3336" width="6.125" style="228" customWidth="1"/>
    <col min="3337" max="3337" width="11" style="228" customWidth="1"/>
    <col min="3338" max="3338" width="15.875" style="228" customWidth="1"/>
    <col min="3339" max="3339" width="14.375" style="228" customWidth="1"/>
    <col min="3340" max="3341" width="13.125" style="228" customWidth="1"/>
    <col min="3342" max="3342" width="14.375" style="228" customWidth="1"/>
    <col min="3343" max="3345" width="11" style="228" customWidth="1"/>
    <col min="3346" max="3346" width="6.875" style="228" customWidth="1"/>
    <col min="3347" max="3347" width="7" style="228" customWidth="1"/>
    <col min="3348" max="3348" width="7.875" style="228" customWidth="1"/>
    <col min="3349" max="3584" width="9" style="228"/>
    <col min="3585" max="3585" width="28" style="228" customWidth="1"/>
    <col min="3586" max="3587" width="14.375" style="228" customWidth="1"/>
    <col min="3588" max="3589" width="13.125" style="228" customWidth="1"/>
    <col min="3590" max="3590" width="14.375" style="228" customWidth="1"/>
    <col min="3591" max="3591" width="8.125" style="228" customWidth="1"/>
    <col min="3592" max="3592" width="6.125" style="228" customWidth="1"/>
    <col min="3593" max="3593" width="11" style="228" customWidth="1"/>
    <col min="3594" max="3594" width="15.875" style="228" customWidth="1"/>
    <col min="3595" max="3595" width="14.375" style="228" customWidth="1"/>
    <col min="3596" max="3597" width="13.125" style="228" customWidth="1"/>
    <col min="3598" max="3598" width="14.375" style="228" customWidth="1"/>
    <col min="3599" max="3601" width="11" style="228" customWidth="1"/>
    <col min="3602" max="3602" width="6.875" style="228" customWidth="1"/>
    <col min="3603" max="3603" width="7" style="228" customWidth="1"/>
    <col min="3604" max="3604" width="7.875" style="228" customWidth="1"/>
    <col min="3605" max="3840" width="9" style="228"/>
    <col min="3841" max="3841" width="28" style="228" customWidth="1"/>
    <col min="3842" max="3843" width="14.375" style="228" customWidth="1"/>
    <col min="3844" max="3845" width="13.125" style="228" customWidth="1"/>
    <col min="3846" max="3846" width="14.375" style="228" customWidth="1"/>
    <col min="3847" max="3847" width="8.125" style="228" customWidth="1"/>
    <col min="3848" max="3848" width="6.125" style="228" customWidth="1"/>
    <col min="3849" max="3849" width="11" style="228" customWidth="1"/>
    <col min="3850" max="3850" width="15.875" style="228" customWidth="1"/>
    <col min="3851" max="3851" width="14.375" style="228" customWidth="1"/>
    <col min="3852" max="3853" width="13.125" style="228" customWidth="1"/>
    <col min="3854" max="3854" width="14.375" style="228" customWidth="1"/>
    <col min="3855" max="3857" width="11" style="228" customWidth="1"/>
    <col min="3858" max="3858" width="6.875" style="228" customWidth="1"/>
    <col min="3859" max="3859" width="7" style="228" customWidth="1"/>
    <col min="3860" max="3860" width="7.875" style="228" customWidth="1"/>
    <col min="3861" max="4096" width="9" style="228"/>
    <col min="4097" max="4097" width="28" style="228" customWidth="1"/>
    <col min="4098" max="4099" width="14.375" style="228" customWidth="1"/>
    <col min="4100" max="4101" width="13.125" style="228" customWidth="1"/>
    <col min="4102" max="4102" width="14.375" style="228" customWidth="1"/>
    <col min="4103" max="4103" width="8.125" style="228" customWidth="1"/>
    <col min="4104" max="4104" width="6.125" style="228" customWidth="1"/>
    <col min="4105" max="4105" width="11" style="228" customWidth="1"/>
    <col min="4106" max="4106" width="15.875" style="228" customWidth="1"/>
    <col min="4107" max="4107" width="14.375" style="228" customWidth="1"/>
    <col min="4108" max="4109" width="13.125" style="228" customWidth="1"/>
    <col min="4110" max="4110" width="14.375" style="228" customWidth="1"/>
    <col min="4111" max="4113" width="11" style="228" customWidth="1"/>
    <col min="4114" max="4114" width="6.875" style="228" customWidth="1"/>
    <col min="4115" max="4115" width="7" style="228" customWidth="1"/>
    <col min="4116" max="4116" width="7.875" style="228" customWidth="1"/>
    <col min="4117" max="4352" width="9" style="228"/>
    <col min="4353" max="4353" width="28" style="228" customWidth="1"/>
    <col min="4354" max="4355" width="14.375" style="228" customWidth="1"/>
    <col min="4356" max="4357" width="13.125" style="228" customWidth="1"/>
    <col min="4358" max="4358" width="14.375" style="228" customWidth="1"/>
    <col min="4359" max="4359" width="8.125" style="228" customWidth="1"/>
    <col min="4360" max="4360" width="6.125" style="228" customWidth="1"/>
    <col min="4361" max="4361" width="11" style="228" customWidth="1"/>
    <col min="4362" max="4362" width="15.875" style="228" customWidth="1"/>
    <col min="4363" max="4363" width="14.375" style="228" customWidth="1"/>
    <col min="4364" max="4365" width="13.125" style="228" customWidth="1"/>
    <col min="4366" max="4366" width="14.375" style="228" customWidth="1"/>
    <col min="4367" max="4369" width="11" style="228" customWidth="1"/>
    <col min="4370" max="4370" width="6.875" style="228" customWidth="1"/>
    <col min="4371" max="4371" width="7" style="228" customWidth="1"/>
    <col min="4372" max="4372" width="7.875" style="228" customWidth="1"/>
    <col min="4373" max="4608" width="9" style="228"/>
    <col min="4609" max="4609" width="28" style="228" customWidth="1"/>
    <col min="4610" max="4611" width="14.375" style="228" customWidth="1"/>
    <col min="4612" max="4613" width="13.125" style="228" customWidth="1"/>
    <col min="4614" max="4614" width="14.375" style="228" customWidth="1"/>
    <col min="4615" max="4615" width="8.125" style="228" customWidth="1"/>
    <col min="4616" max="4616" width="6.125" style="228" customWidth="1"/>
    <col min="4617" max="4617" width="11" style="228" customWidth="1"/>
    <col min="4618" max="4618" width="15.875" style="228" customWidth="1"/>
    <col min="4619" max="4619" width="14.375" style="228" customWidth="1"/>
    <col min="4620" max="4621" width="13.125" style="228" customWidth="1"/>
    <col min="4622" max="4622" width="14.375" style="228" customWidth="1"/>
    <col min="4623" max="4625" width="11" style="228" customWidth="1"/>
    <col min="4626" max="4626" width="6.875" style="228" customWidth="1"/>
    <col min="4627" max="4627" width="7" style="228" customWidth="1"/>
    <col min="4628" max="4628" width="7.875" style="228" customWidth="1"/>
    <col min="4629" max="4864" width="9" style="228"/>
    <col min="4865" max="4865" width="28" style="228" customWidth="1"/>
    <col min="4866" max="4867" width="14.375" style="228" customWidth="1"/>
    <col min="4868" max="4869" width="13.125" style="228" customWidth="1"/>
    <col min="4870" max="4870" width="14.375" style="228" customWidth="1"/>
    <col min="4871" max="4871" width="8.125" style="228" customWidth="1"/>
    <col min="4872" max="4872" width="6.125" style="228" customWidth="1"/>
    <col min="4873" max="4873" width="11" style="228" customWidth="1"/>
    <col min="4874" max="4874" width="15.875" style="228" customWidth="1"/>
    <col min="4875" max="4875" width="14.375" style="228" customWidth="1"/>
    <col min="4876" max="4877" width="13.125" style="228" customWidth="1"/>
    <col min="4878" max="4878" width="14.375" style="228" customWidth="1"/>
    <col min="4879" max="4881" width="11" style="228" customWidth="1"/>
    <col min="4882" max="4882" width="6.875" style="228" customWidth="1"/>
    <col min="4883" max="4883" width="7" style="228" customWidth="1"/>
    <col min="4884" max="4884" width="7.875" style="228" customWidth="1"/>
    <col min="4885" max="5120" width="9" style="228"/>
    <col min="5121" max="5121" width="28" style="228" customWidth="1"/>
    <col min="5122" max="5123" width="14.375" style="228" customWidth="1"/>
    <col min="5124" max="5125" width="13.125" style="228" customWidth="1"/>
    <col min="5126" max="5126" width="14.375" style="228" customWidth="1"/>
    <col min="5127" max="5127" width="8.125" style="228" customWidth="1"/>
    <col min="5128" max="5128" width="6.125" style="228" customWidth="1"/>
    <col min="5129" max="5129" width="11" style="228" customWidth="1"/>
    <col min="5130" max="5130" width="15.875" style="228" customWidth="1"/>
    <col min="5131" max="5131" width="14.375" style="228" customWidth="1"/>
    <col min="5132" max="5133" width="13.125" style="228" customWidth="1"/>
    <col min="5134" max="5134" width="14.375" style="228" customWidth="1"/>
    <col min="5135" max="5137" width="11" style="228" customWidth="1"/>
    <col min="5138" max="5138" width="6.875" style="228" customWidth="1"/>
    <col min="5139" max="5139" width="7" style="228" customWidth="1"/>
    <col min="5140" max="5140" width="7.875" style="228" customWidth="1"/>
    <col min="5141" max="5376" width="9" style="228"/>
    <col min="5377" max="5377" width="28" style="228" customWidth="1"/>
    <col min="5378" max="5379" width="14.375" style="228" customWidth="1"/>
    <col min="5380" max="5381" width="13.125" style="228" customWidth="1"/>
    <col min="5382" max="5382" width="14.375" style="228" customWidth="1"/>
    <col min="5383" max="5383" width="8.125" style="228" customWidth="1"/>
    <col min="5384" max="5384" width="6.125" style="228" customWidth="1"/>
    <col min="5385" max="5385" width="11" style="228" customWidth="1"/>
    <col min="5386" max="5386" width="15.875" style="228" customWidth="1"/>
    <col min="5387" max="5387" width="14.375" style="228" customWidth="1"/>
    <col min="5388" max="5389" width="13.125" style="228" customWidth="1"/>
    <col min="5390" max="5390" width="14.375" style="228" customWidth="1"/>
    <col min="5391" max="5393" width="11" style="228" customWidth="1"/>
    <col min="5394" max="5394" width="6.875" style="228" customWidth="1"/>
    <col min="5395" max="5395" width="7" style="228" customWidth="1"/>
    <col min="5396" max="5396" width="7.875" style="228" customWidth="1"/>
    <col min="5397" max="5632" width="9" style="228"/>
    <col min="5633" max="5633" width="28" style="228" customWidth="1"/>
    <col min="5634" max="5635" width="14.375" style="228" customWidth="1"/>
    <col min="5636" max="5637" width="13.125" style="228" customWidth="1"/>
    <col min="5638" max="5638" width="14.375" style="228" customWidth="1"/>
    <col min="5639" max="5639" width="8.125" style="228" customWidth="1"/>
    <col min="5640" max="5640" width="6.125" style="228" customWidth="1"/>
    <col min="5641" max="5641" width="11" style="228" customWidth="1"/>
    <col min="5642" max="5642" width="15.875" style="228" customWidth="1"/>
    <col min="5643" max="5643" width="14.375" style="228" customWidth="1"/>
    <col min="5644" max="5645" width="13.125" style="228" customWidth="1"/>
    <col min="5646" max="5646" width="14.375" style="228" customWidth="1"/>
    <col min="5647" max="5649" width="11" style="228" customWidth="1"/>
    <col min="5650" max="5650" width="6.875" style="228" customWidth="1"/>
    <col min="5651" max="5651" width="7" style="228" customWidth="1"/>
    <col min="5652" max="5652" width="7.875" style="228" customWidth="1"/>
    <col min="5653" max="5888" width="9" style="228"/>
    <col min="5889" max="5889" width="28" style="228" customWidth="1"/>
    <col min="5890" max="5891" width="14.375" style="228" customWidth="1"/>
    <col min="5892" max="5893" width="13.125" style="228" customWidth="1"/>
    <col min="5894" max="5894" width="14.375" style="228" customWidth="1"/>
    <col min="5895" max="5895" width="8.125" style="228" customWidth="1"/>
    <col min="5896" max="5896" width="6.125" style="228" customWidth="1"/>
    <col min="5897" max="5897" width="11" style="228" customWidth="1"/>
    <col min="5898" max="5898" width="15.875" style="228" customWidth="1"/>
    <col min="5899" max="5899" width="14.375" style="228" customWidth="1"/>
    <col min="5900" max="5901" width="13.125" style="228" customWidth="1"/>
    <col min="5902" max="5902" width="14.375" style="228" customWidth="1"/>
    <col min="5903" max="5905" width="11" style="228" customWidth="1"/>
    <col min="5906" max="5906" width="6.875" style="228" customWidth="1"/>
    <col min="5907" max="5907" width="7" style="228" customWidth="1"/>
    <col min="5908" max="5908" width="7.875" style="228" customWidth="1"/>
    <col min="5909" max="6144" width="9" style="228"/>
    <col min="6145" max="6145" width="28" style="228" customWidth="1"/>
    <col min="6146" max="6147" width="14.375" style="228" customWidth="1"/>
    <col min="6148" max="6149" width="13.125" style="228" customWidth="1"/>
    <col min="6150" max="6150" width="14.375" style="228" customWidth="1"/>
    <col min="6151" max="6151" width="8.125" style="228" customWidth="1"/>
    <col min="6152" max="6152" width="6.125" style="228" customWidth="1"/>
    <col min="6153" max="6153" width="11" style="228" customWidth="1"/>
    <col min="6154" max="6154" width="15.875" style="228" customWidth="1"/>
    <col min="6155" max="6155" width="14.375" style="228" customWidth="1"/>
    <col min="6156" max="6157" width="13.125" style="228" customWidth="1"/>
    <col min="6158" max="6158" width="14.375" style="228" customWidth="1"/>
    <col min="6159" max="6161" width="11" style="228" customWidth="1"/>
    <col min="6162" max="6162" width="6.875" style="228" customWidth="1"/>
    <col min="6163" max="6163" width="7" style="228" customWidth="1"/>
    <col min="6164" max="6164" width="7.875" style="228" customWidth="1"/>
    <col min="6165" max="6400" width="9" style="228"/>
    <col min="6401" max="6401" width="28" style="228" customWidth="1"/>
    <col min="6402" max="6403" width="14.375" style="228" customWidth="1"/>
    <col min="6404" max="6405" width="13.125" style="228" customWidth="1"/>
    <col min="6406" max="6406" width="14.375" style="228" customWidth="1"/>
    <col min="6407" max="6407" width="8.125" style="228" customWidth="1"/>
    <col min="6408" max="6408" width="6.125" style="228" customWidth="1"/>
    <col min="6409" max="6409" width="11" style="228" customWidth="1"/>
    <col min="6410" max="6410" width="15.875" style="228" customWidth="1"/>
    <col min="6411" max="6411" width="14.375" style="228" customWidth="1"/>
    <col min="6412" max="6413" width="13.125" style="228" customWidth="1"/>
    <col min="6414" max="6414" width="14.375" style="228" customWidth="1"/>
    <col min="6415" max="6417" width="11" style="228" customWidth="1"/>
    <col min="6418" max="6418" width="6.875" style="228" customWidth="1"/>
    <col min="6419" max="6419" width="7" style="228" customWidth="1"/>
    <col min="6420" max="6420" width="7.875" style="228" customWidth="1"/>
    <col min="6421" max="6656" width="9" style="228"/>
    <col min="6657" max="6657" width="28" style="228" customWidth="1"/>
    <col min="6658" max="6659" width="14.375" style="228" customWidth="1"/>
    <col min="6660" max="6661" width="13.125" style="228" customWidth="1"/>
    <col min="6662" max="6662" width="14.375" style="228" customWidth="1"/>
    <col min="6663" max="6663" width="8.125" style="228" customWidth="1"/>
    <col min="6664" max="6664" width="6.125" style="228" customWidth="1"/>
    <col min="6665" max="6665" width="11" style="228" customWidth="1"/>
    <col min="6666" max="6666" width="15.875" style="228" customWidth="1"/>
    <col min="6667" max="6667" width="14.375" style="228" customWidth="1"/>
    <col min="6668" max="6669" width="13.125" style="228" customWidth="1"/>
    <col min="6670" max="6670" width="14.375" style="228" customWidth="1"/>
    <col min="6671" max="6673" width="11" style="228" customWidth="1"/>
    <col min="6674" max="6674" width="6.875" style="228" customWidth="1"/>
    <col min="6675" max="6675" width="7" style="228" customWidth="1"/>
    <col min="6676" max="6676" width="7.875" style="228" customWidth="1"/>
    <col min="6677" max="6912" width="9" style="228"/>
    <col min="6913" max="6913" width="28" style="228" customWidth="1"/>
    <col min="6914" max="6915" width="14.375" style="228" customWidth="1"/>
    <col min="6916" max="6917" width="13.125" style="228" customWidth="1"/>
    <col min="6918" max="6918" width="14.375" style="228" customWidth="1"/>
    <col min="6919" max="6919" width="8.125" style="228" customWidth="1"/>
    <col min="6920" max="6920" width="6.125" style="228" customWidth="1"/>
    <col min="6921" max="6921" width="11" style="228" customWidth="1"/>
    <col min="6922" max="6922" width="15.875" style="228" customWidth="1"/>
    <col min="6923" max="6923" width="14.375" style="228" customWidth="1"/>
    <col min="6924" max="6925" width="13.125" style="228" customWidth="1"/>
    <col min="6926" max="6926" width="14.375" style="228" customWidth="1"/>
    <col min="6927" max="6929" width="11" style="228" customWidth="1"/>
    <col min="6930" max="6930" width="6.875" style="228" customWidth="1"/>
    <col min="6931" max="6931" width="7" style="228" customWidth="1"/>
    <col min="6932" max="6932" width="7.875" style="228" customWidth="1"/>
    <col min="6933" max="7168" width="9" style="228"/>
    <col min="7169" max="7169" width="28" style="228" customWidth="1"/>
    <col min="7170" max="7171" width="14.375" style="228" customWidth="1"/>
    <col min="7172" max="7173" width="13.125" style="228" customWidth="1"/>
    <col min="7174" max="7174" width="14.375" style="228" customWidth="1"/>
    <col min="7175" max="7175" width="8.125" style="228" customWidth="1"/>
    <col min="7176" max="7176" width="6.125" style="228" customWidth="1"/>
    <col min="7177" max="7177" width="11" style="228" customWidth="1"/>
    <col min="7178" max="7178" width="15.875" style="228" customWidth="1"/>
    <col min="7179" max="7179" width="14.375" style="228" customWidth="1"/>
    <col min="7180" max="7181" width="13.125" style="228" customWidth="1"/>
    <col min="7182" max="7182" width="14.375" style="228" customWidth="1"/>
    <col min="7183" max="7185" width="11" style="228" customWidth="1"/>
    <col min="7186" max="7186" width="6.875" style="228" customWidth="1"/>
    <col min="7187" max="7187" width="7" style="228" customWidth="1"/>
    <col min="7188" max="7188" width="7.875" style="228" customWidth="1"/>
    <col min="7189" max="7424" width="9" style="228"/>
    <col min="7425" max="7425" width="28" style="228" customWidth="1"/>
    <col min="7426" max="7427" width="14.375" style="228" customWidth="1"/>
    <col min="7428" max="7429" width="13.125" style="228" customWidth="1"/>
    <col min="7430" max="7430" width="14.375" style="228" customWidth="1"/>
    <col min="7431" max="7431" width="8.125" style="228" customWidth="1"/>
    <col min="7432" max="7432" width="6.125" style="228" customWidth="1"/>
    <col min="7433" max="7433" width="11" style="228" customWidth="1"/>
    <col min="7434" max="7434" width="15.875" style="228" customWidth="1"/>
    <col min="7435" max="7435" width="14.375" style="228" customWidth="1"/>
    <col min="7436" max="7437" width="13.125" style="228" customWidth="1"/>
    <col min="7438" max="7438" width="14.375" style="228" customWidth="1"/>
    <col min="7439" max="7441" width="11" style="228" customWidth="1"/>
    <col min="7442" max="7442" width="6.875" style="228" customWidth="1"/>
    <col min="7443" max="7443" width="7" style="228" customWidth="1"/>
    <col min="7444" max="7444" width="7.875" style="228" customWidth="1"/>
    <col min="7445" max="7680" width="9" style="228"/>
    <col min="7681" max="7681" width="28" style="228" customWidth="1"/>
    <col min="7682" max="7683" width="14.375" style="228" customWidth="1"/>
    <col min="7684" max="7685" width="13.125" style="228" customWidth="1"/>
    <col min="7686" max="7686" width="14.375" style="228" customWidth="1"/>
    <col min="7687" max="7687" width="8.125" style="228" customWidth="1"/>
    <col min="7688" max="7688" width="6.125" style="228" customWidth="1"/>
    <col min="7689" max="7689" width="11" style="228" customWidth="1"/>
    <col min="7690" max="7690" width="15.875" style="228" customWidth="1"/>
    <col min="7691" max="7691" width="14.375" style="228" customWidth="1"/>
    <col min="7692" max="7693" width="13.125" style="228" customWidth="1"/>
    <col min="7694" max="7694" width="14.375" style="228" customWidth="1"/>
    <col min="7695" max="7697" width="11" style="228" customWidth="1"/>
    <col min="7698" max="7698" width="6.875" style="228" customWidth="1"/>
    <col min="7699" max="7699" width="7" style="228" customWidth="1"/>
    <col min="7700" max="7700" width="7.875" style="228" customWidth="1"/>
    <col min="7701" max="7936" width="9" style="228"/>
    <col min="7937" max="7937" width="28" style="228" customWidth="1"/>
    <col min="7938" max="7939" width="14.375" style="228" customWidth="1"/>
    <col min="7940" max="7941" width="13.125" style="228" customWidth="1"/>
    <col min="7942" max="7942" width="14.375" style="228" customWidth="1"/>
    <col min="7943" max="7943" width="8.125" style="228" customWidth="1"/>
    <col min="7944" max="7944" width="6.125" style="228" customWidth="1"/>
    <col min="7945" max="7945" width="11" style="228" customWidth="1"/>
    <col min="7946" max="7946" width="15.875" style="228" customWidth="1"/>
    <col min="7947" max="7947" width="14.375" style="228" customWidth="1"/>
    <col min="7948" max="7949" width="13.125" style="228" customWidth="1"/>
    <col min="7950" max="7950" width="14.375" style="228" customWidth="1"/>
    <col min="7951" max="7953" width="11" style="228" customWidth="1"/>
    <col min="7954" max="7954" width="6.875" style="228" customWidth="1"/>
    <col min="7955" max="7955" width="7" style="228" customWidth="1"/>
    <col min="7956" max="7956" width="7.875" style="228" customWidth="1"/>
    <col min="7957" max="8192" width="9" style="228"/>
    <col min="8193" max="8193" width="28" style="228" customWidth="1"/>
    <col min="8194" max="8195" width="14.375" style="228" customWidth="1"/>
    <col min="8196" max="8197" width="13.125" style="228" customWidth="1"/>
    <col min="8198" max="8198" width="14.375" style="228" customWidth="1"/>
    <col min="8199" max="8199" width="8.125" style="228" customWidth="1"/>
    <col min="8200" max="8200" width="6.125" style="228" customWidth="1"/>
    <col min="8201" max="8201" width="11" style="228" customWidth="1"/>
    <col min="8202" max="8202" width="15.875" style="228" customWidth="1"/>
    <col min="8203" max="8203" width="14.375" style="228" customWidth="1"/>
    <col min="8204" max="8205" width="13.125" style="228" customWidth="1"/>
    <col min="8206" max="8206" width="14.375" style="228" customWidth="1"/>
    <col min="8207" max="8209" width="11" style="228" customWidth="1"/>
    <col min="8210" max="8210" width="6.875" style="228" customWidth="1"/>
    <col min="8211" max="8211" width="7" style="228" customWidth="1"/>
    <col min="8212" max="8212" width="7.875" style="228" customWidth="1"/>
    <col min="8213" max="8448" width="9" style="228"/>
    <col min="8449" max="8449" width="28" style="228" customWidth="1"/>
    <col min="8450" max="8451" width="14.375" style="228" customWidth="1"/>
    <col min="8452" max="8453" width="13.125" style="228" customWidth="1"/>
    <col min="8454" max="8454" width="14.375" style="228" customWidth="1"/>
    <col min="8455" max="8455" width="8.125" style="228" customWidth="1"/>
    <col min="8456" max="8456" width="6.125" style="228" customWidth="1"/>
    <col min="8457" max="8457" width="11" style="228" customWidth="1"/>
    <col min="8458" max="8458" width="15.875" style="228" customWidth="1"/>
    <col min="8459" max="8459" width="14.375" style="228" customWidth="1"/>
    <col min="8460" max="8461" width="13.125" style="228" customWidth="1"/>
    <col min="8462" max="8462" width="14.375" style="228" customWidth="1"/>
    <col min="8463" max="8465" width="11" style="228" customWidth="1"/>
    <col min="8466" max="8466" width="6.875" style="228" customWidth="1"/>
    <col min="8467" max="8467" width="7" style="228" customWidth="1"/>
    <col min="8468" max="8468" width="7.875" style="228" customWidth="1"/>
    <col min="8469" max="8704" width="9" style="228"/>
    <col min="8705" max="8705" width="28" style="228" customWidth="1"/>
    <col min="8706" max="8707" width="14.375" style="228" customWidth="1"/>
    <col min="8708" max="8709" width="13.125" style="228" customWidth="1"/>
    <col min="8710" max="8710" width="14.375" style="228" customWidth="1"/>
    <col min="8711" max="8711" width="8.125" style="228" customWidth="1"/>
    <col min="8712" max="8712" width="6.125" style="228" customWidth="1"/>
    <col min="8713" max="8713" width="11" style="228" customWidth="1"/>
    <col min="8714" max="8714" width="15.875" style="228" customWidth="1"/>
    <col min="8715" max="8715" width="14.375" style="228" customWidth="1"/>
    <col min="8716" max="8717" width="13.125" style="228" customWidth="1"/>
    <col min="8718" max="8718" width="14.375" style="228" customWidth="1"/>
    <col min="8719" max="8721" width="11" style="228" customWidth="1"/>
    <col min="8722" max="8722" width="6.875" style="228" customWidth="1"/>
    <col min="8723" max="8723" width="7" style="228" customWidth="1"/>
    <col min="8724" max="8724" width="7.875" style="228" customWidth="1"/>
    <col min="8725" max="8960" width="9" style="228"/>
    <col min="8961" max="8961" width="28" style="228" customWidth="1"/>
    <col min="8962" max="8963" width="14.375" style="228" customWidth="1"/>
    <col min="8964" max="8965" width="13.125" style="228" customWidth="1"/>
    <col min="8966" max="8966" width="14.375" style="228" customWidth="1"/>
    <col min="8967" max="8967" width="8.125" style="228" customWidth="1"/>
    <col min="8968" max="8968" width="6.125" style="228" customWidth="1"/>
    <col min="8969" max="8969" width="11" style="228" customWidth="1"/>
    <col min="8970" max="8970" width="15.875" style="228" customWidth="1"/>
    <col min="8971" max="8971" width="14.375" style="228" customWidth="1"/>
    <col min="8972" max="8973" width="13.125" style="228" customWidth="1"/>
    <col min="8974" max="8974" width="14.375" style="228" customWidth="1"/>
    <col min="8975" max="8977" width="11" style="228" customWidth="1"/>
    <col min="8978" max="8978" width="6.875" style="228" customWidth="1"/>
    <col min="8979" max="8979" width="7" style="228" customWidth="1"/>
    <col min="8980" max="8980" width="7.875" style="228" customWidth="1"/>
    <col min="8981" max="9216" width="9" style="228"/>
    <col min="9217" max="9217" width="28" style="228" customWidth="1"/>
    <col min="9218" max="9219" width="14.375" style="228" customWidth="1"/>
    <col min="9220" max="9221" width="13.125" style="228" customWidth="1"/>
    <col min="9222" max="9222" width="14.375" style="228" customWidth="1"/>
    <col min="9223" max="9223" width="8.125" style="228" customWidth="1"/>
    <col min="9224" max="9224" width="6.125" style="228" customWidth="1"/>
    <col min="9225" max="9225" width="11" style="228" customWidth="1"/>
    <col min="9226" max="9226" width="15.875" style="228" customWidth="1"/>
    <col min="9227" max="9227" width="14.375" style="228" customWidth="1"/>
    <col min="9228" max="9229" width="13.125" style="228" customWidth="1"/>
    <col min="9230" max="9230" width="14.375" style="228" customWidth="1"/>
    <col min="9231" max="9233" width="11" style="228" customWidth="1"/>
    <col min="9234" max="9234" width="6.875" style="228" customWidth="1"/>
    <col min="9235" max="9235" width="7" style="228" customWidth="1"/>
    <col min="9236" max="9236" width="7.875" style="228" customWidth="1"/>
    <col min="9237" max="9472" width="9" style="228"/>
    <col min="9473" max="9473" width="28" style="228" customWidth="1"/>
    <col min="9474" max="9475" width="14.375" style="228" customWidth="1"/>
    <col min="9476" max="9477" width="13.125" style="228" customWidth="1"/>
    <col min="9478" max="9478" width="14.375" style="228" customWidth="1"/>
    <col min="9479" max="9479" width="8.125" style="228" customWidth="1"/>
    <col min="9480" max="9480" width="6.125" style="228" customWidth="1"/>
    <col min="9481" max="9481" width="11" style="228" customWidth="1"/>
    <col min="9482" max="9482" width="15.875" style="228" customWidth="1"/>
    <col min="9483" max="9483" width="14.375" style="228" customWidth="1"/>
    <col min="9484" max="9485" width="13.125" style="228" customWidth="1"/>
    <col min="9486" max="9486" width="14.375" style="228" customWidth="1"/>
    <col min="9487" max="9489" width="11" style="228" customWidth="1"/>
    <col min="9490" max="9490" width="6.875" style="228" customWidth="1"/>
    <col min="9491" max="9491" width="7" style="228" customWidth="1"/>
    <col min="9492" max="9492" width="7.875" style="228" customWidth="1"/>
    <col min="9493" max="9728" width="9" style="228"/>
    <col min="9729" max="9729" width="28" style="228" customWidth="1"/>
    <col min="9730" max="9731" width="14.375" style="228" customWidth="1"/>
    <col min="9732" max="9733" width="13.125" style="228" customWidth="1"/>
    <col min="9734" max="9734" width="14.375" style="228" customWidth="1"/>
    <col min="9735" max="9735" width="8.125" style="228" customWidth="1"/>
    <col min="9736" max="9736" width="6.125" style="228" customWidth="1"/>
    <col min="9737" max="9737" width="11" style="228" customWidth="1"/>
    <col min="9738" max="9738" width="15.875" style="228" customWidth="1"/>
    <col min="9739" max="9739" width="14.375" style="228" customWidth="1"/>
    <col min="9740" max="9741" width="13.125" style="228" customWidth="1"/>
    <col min="9742" max="9742" width="14.375" style="228" customWidth="1"/>
    <col min="9743" max="9745" width="11" style="228" customWidth="1"/>
    <col min="9746" max="9746" width="6.875" style="228" customWidth="1"/>
    <col min="9747" max="9747" width="7" style="228" customWidth="1"/>
    <col min="9748" max="9748" width="7.875" style="228" customWidth="1"/>
    <col min="9749" max="9984" width="9" style="228"/>
    <col min="9985" max="9985" width="28" style="228" customWidth="1"/>
    <col min="9986" max="9987" width="14.375" style="228" customWidth="1"/>
    <col min="9988" max="9989" width="13.125" style="228" customWidth="1"/>
    <col min="9990" max="9990" width="14.375" style="228" customWidth="1"/>
    <col min="9991" max="9991" width="8.125" style="228" customWidth="1"/>
    <col min="9992" max="9992" width="6.125" style="228" customWidth="1"/>
    <col min="9993" max="9993" width="11" style="228" customWidth="1"/>
    <col min="9994" max="9994" width="15.875" style="228" customWidth="1"/>
    <col min="9995" max="9995" width="14.375" style="228" customWidth="1"/>
    <col min="9996" max="9997" width="13.125" style="228" customWidth="1"/>
    <col min="9998" max="9998" width="14.375" style="228" customWidth="1"/>
    <col min="9999" max="10001" width="11" style="228" customWidth="1"/>
    <col min="10002" max="10002" width="6.875" style="228" customWidth="1"/>
    <col min="10003" max="10003" width="7" style="228" customWidth="1"/>
    <col min="10004" max="10004" width="7.875" style="228" customWidth="1"/>
    <col min="10005" max="10240" width="9" style="228"/>
    <col min="10241" max="10241" width="28" style="228" customWidth="1"/>
    <col min="10242" max="10243" width="14.375" style="228" customWidth="1"/>
    <col min="10244" max="10245" width="13.125" style="228" customWidth="1"/>
    <col min="10246" max="10246" width="14.375" style="228" customWidth="1"/>
    <col min="10247" max="10247" width="8.125" style="228" customWidth="1"/>
    <col min="10248" max="10248" width="6.125" style="228" customWidth="1"/>
    <col min="10249" max="10249" width="11" style="228" customWidth="1"/>
    <col min="10250" max="10250" width="15.875" style="228" customWidth="1"/>
    <col min="10251" max="10251" width="14.375" style="228" customWidth="1"/>
    <col min="10252" max="10253" width="13.125" style="228" customWidth="1"/>
    <col min="10254" max="10254" width="14.375" style="228" customWidth="1"/>
    <col min="10255" max="10257" width="11" style="228" customWidth="1"/>
    <col min="10258" max="10258" width="6.875" style="228" customWidth="1"/>
    <col min="10259" max="10259" width="7" style="228" customWidth="1"/>
    <col min="10260" max="10260" width="7.875" style="228" customWidth="1"/>
    <col min="10261" max="10496" width="9" style="228"/>
    <col min="10497" max="10497" width="28" style="228" customWidth="1"/>
    <col min="10498" max="10499" width="14.375" style="228" customWidth="1"/>
    <col min="10500" max="10501" width="13.125" style="228" customWidth="1"/>
    <col min="10502" max="10502" width="14.375" style="228" customWidth="1"/>
    <col min="10503" max="10503" width="8.125" style="228" customWidth="1"/>
    <col min="10504" max="10504" width="6.125" style="228" customWidth="1"/>
    <col min="10505" max="10505" width="11" style="228" customWidth="1"/>
    <col min="10506" max="10506" width="15.875" style="228" customWidth="1"/>
    <col min="10507" max="10507" width="14.375" style="228" customWidth="1"/>
    <col min="10508" max="10509" width="13.125" style="228" customWidth="1"/>
    <col min="10510" max="10510" width="14.375" style="228" customWidth="1"/>
    <col min="10511" max="10513" width="11" style="228" customWidth="1"/>
    <col min="10514" max="10514" width="6.875" style="228" customWidth="1"/>
    <col min="10515" max="10515" width="7" style="228" customWidth="1"/>
    <col min="10516" max="10516" width="7.875" style="228" customWidth="1"/>
    <col min="10517" max="10752" width="9" style="228"/>
    <col min="10753" max="10753" width="28" style="228" customWidth="1"/>
    <col min="10754" max="10755" width="14.375" style="228" customWidth="1"/>
    <col min="10756" max="10757" width="13.125" style="228" customWidth="1"/>
    <col min="10758" max="10758" width="14.375" style="228" customWidth="1"/>
    <col min="10759" max="10759" width="8.125" style="228" customWidth="1"/>
    <col min="10760" max="10760" width="6.125" style="228" customWidth="1"/>
    <col min="10761" max="10761" width="11" style="228" customWidth="1"/>
    <col min="10762" max="10762" width="15.875" style="228" customWidth="1"/>
    <col min="10763" max="10763" width="14.375" style="228" customWidth="1"/>
    <col min="10764" max="10765" width="13.125" style="228" customWidth="1"/>
    <col min="10766" max="10766" width="14.375" style="228" customWidth="1"/>
    <col min="10767" max="10769" width="11" style="228" customWidth="1"/>
    <col min="10770" max="10770" width="6.875" style="228" customWidth="1"/>
    <col min="10771" max="10771" width="7" style="228" customWidth="1"/>
    <col min="10772" max="10772" width="7.875" style="228" customWidth="1"/>
    <col min="10773" max="11008" width="9" style="228"/>
    <col min="11009" max="11009" width="28" style="228" customWidth="1"/>
    <col min="11010" max="11011" width="14.375" style="228" customWidth="1"/>
    <col min="11012" max="11013" width="13.125" style="228" customWidth="1"/>
    <col min="11014" max="11014" width="14.375" style="228" customWidth="1"/>
    <col min="11015" max="11015" width="8.125" style="228" customWidth="1"/>
    <col min="11016" max="11016" width="6.125" style="228" customWidth="1"/>
    <col min="11017" max="11017" width="11" style="228" customWidth="1"/>
    <col min="11018" max="11018" width="15.875" style="228" customWidth="1"/>
    <col min="11019" max="11019" width="14.375" style="228" customWidth="1"/>
    <col min="11020" max="11021" width="13.125" style="228" customWidth="1"/>
    <col min="11022" max="11022" width="14.375" style="228" customWidth="1"/>
    <col min="11023" max="11025" width="11" style="228" customWidth="1"/>
    <col min="11026" max="11026" width="6.875" style="228" customWidth="1"/>
    <col min="11027" max="11027" width="7" style="228" customWidth="1"/>
    <col min="11028" max="11028" width="7.875" style="228" customWidth="1"/>
    <col min="11029" max="11264" width="9" style="228"/>
    <col min="11265" max="11265" width="28" style="228" customWidth="1"/>
    <col min="11266" max="11267" width="14.375" style="228" customWidth="1"/>
    <col min="11268" max="11269" width="13.125" style="228" customWidth="1"/>
    <col min="11270" max="11270" width="14.375" style="228" customWidth="1"/>
    <col min="11271" max="11271" width="8.125" style="228" customWidth="1"/>
    <col min="11272" max="11272" width="6.125" style="228" customWidth="1"/>
    <col min="11273" max="11273" width="11" style="228" customWidth="1"/>
    <col min="11274" max="11274" width="15.875" style="228" customWidth="1"/>
    <col min="11275" max="11275" width="14.375" style="228" customWidth="1"/>
    <col min="11276" max="11277" width="13.125" style="228" customWidth="1"/>
    <col min="11278" max="11278" width="14.375" style="228" customWidth="1"/>
    <col min="11279" max="11281" width="11" style="228" customWidth="1"/>
    <col min="11282" max="11282" width="6.875" style="228" customWidth="1"/>
    <col min="11283" max="11283" width="7" style="228" customWidth="1"/>
    <col min="11284" max="11284" width="7.875" style="228" customWidth="1"/>
    <col min="11285" max="11520" width="9" style="228"/>
    <col min="11521" max="11521" width="28" style="228" customWidth="1"/>
    <col min="11522" max="11523" width="14.375" style="228" customWidth="1"/>
    <col min="11524" max="11525" width="13.125" style="228" customWidth="1"/>
    <col min="11526" max="11526" width="14.375" style="228" customWidth="1"/>
    <col min="11527" max="11527" width="8.125" style="228" customWidth="1"/>
    <col min="11528" max="11528" width="6.125" style="228" customWidth="1"/>
    <col min="11529" max="11529" width="11" style="228" customWidth="1"/>
    <col min="11530" max="11530" width="15.875" style="228" customWidth="1"/>
    <col min="11531" max="11531" width="14.375" style="228" customWidth="1"/>
    <col min="11532" max="11533" width="13.125" style="228" customWidth="1"/>
    <col min="11534" max="11534" width="14.375" style="228" customWidth="1"/>
    <col min="11535" max="11537" width="11" style="228" customWidth="1"/>
    <col min="11538" max="11538" width="6.875" style="228" customWidth="1"/>
    <col min="11539" max="11539" width="7" style="228" customWidth="1"/>
    <col min="11540" max="11540" width="7.875" style="228" customWidth="1"/>
    <col min="11541" max="11776" width="9" style="228"/>
    <col min="11777" max="11777" width="28" style="228" customWidth="1"/>
    <col min="11778" max="11779" width="14.375" style="228" customWidth="1"/>
    <col min="11780" max="11781" width="13.125" style="228" customWidth="1"/>
    <col min="11782" max="11782" width="14.375" style="228" customWidth="1"/>
    <col min="11783" max="11783" width="8.125" style="228" customWidth="1"/>
    <col min="11784" max="11784" width="6.125" style="228" customWidth="1"/>
    <col min="11785" max="11785" width="11" style="228" customWidth="1"/>
    <col min="11786" max="11786" width="15.875" style="228" customWidth="1"/>
    <col min="11787" max="11787" width="14.375" style="228" customWidth="1"/>
    <col min="11788" max="11789" width="13.125" style="228" customWidth="1"/>
    <col min="11790" max="11790" width="14.375" style="228" customWidth="1"/>
    <col min="11791" max="11793" width="11" style="228" customWidth="1"/>
    <col min="11794" max="11794" width="6.875" style="228" customWidth="1"/>
    <col min="11795" max="11795" width="7" style="228" customWidth="1"/>
    <col min="11796" max="11796" width="7.875" style="228" customWidth="1"/>
    <col min="11797" max="12032" width="9" style="228"/>
    <col min="12033" max="12033" width="28" style="228" customWidth="1"/>
    <col min="12034" max="12035" width="14.375" style="228" customWidth="1"/>
    <col min="12036" max="12037" width="13.125" style="228" customWidth="1"/>
    <col min="12038" max="12038" width="14.375" style="228" customWidth="1"/>
    <col min="12039" max="12039" width="8.125" style="228" customWidth="1"/>
    <col min="12040" max="12040" width="6.125" style="228" customWidth="1"/>
    <col min="12041" max="12041" width="11" style="228" customWidth="1"/>
    <col min="12042" max="12042" width="15.875" style="228" customWidth="1"/>
    <col min="12043" max="12043" width="14.375" style="228" customWidth="1"/>
    <col min="12044" max="12045" width="13.125" style="228" customWidth="1"/>
    <col min="12046" max="12046" width="14.375" style="228" customWidth="1"/>
    <col min="12047" max="12049" width="11" style="228" customWidth="1"/>
    <col min="12050" max="12050" width="6.875" style="228" customWidth="1"/>
    <col min="12051" max="12051" width="7" style="228" customWidth="1"/>
    <col min="12052" max="12052" width="7.875" style="228" customWidth="1"/>
    <col min="12053" max="12288" width="9" style="228"/>
    <col min="12289" max="12289" width="28" style="228" customWidth="1"/>
    <col min="12290" max="12291" width="14.375" style="228" customWidth="1"/>
    <col min="12292" max="12293" width="13.125" style="228" customWidth="1"/>
    <col min="12294" max="12294" width="14.375" style="228" customWidth="1"/>
    <col min="12295" max="12295" width="8.125" style="228" customWidth="1"/>
    <col min="12296" max="12296" width="6.125" style="228" customWidth="1"/>
    <col min="12297" max="12297" width="11" style="228" customWidth="1"/>
    <col min="12298" max="12298" width="15.875" style="228" customWidth="1"/>
    <col min="12299" max="12299" width="14.375" style="228" customWidth="1"/>
    <col min="12300" max="12301" width="13.125" style="228" customWidth="1"/>
    <col min="12302" max="12302" width="14.375" style="228" customWidth="1"/>
    <col min="12303" max="12305" width="11" style="228" customWidth="1"/>
    <col min="12306" max="12306" width="6.875" style="228" customWidth="1"/>
    <col min="12307" max="12307" width="7" style="228" customWidth="1"/>
    <col min="12308" max="12308" width="7.875" style="228" customWidth="1"/>
    <col min="12309" max="12544" width="9" style="228"/>
    <col min="12545" max="12545" width="28" style="228" customWidth="1"/>
    <col min="12546" max="12547" width="14.375" style="228" customWidth="1"/>
    <col min="12548" max="12549" width="13.125" style="228" customWidth="1"/>
    <col min="12550" max="12550" width="14.375" style="228" customWidth="1"/>
    <col min="12551" max="12551" width="8.125" style="228" customWidth="1"/>
    <col min="12552" max="12552" width="6.125" style="228" customWidth="1"/>
    <col min="12553" max="12553" width="11" style="228" customWidth="1"/>
    <col min="12554" max="12554" width="15.875" style="228" customWidth="1"/>
    <col min="12555" max="12555" width="14.375" style="228" customWidth="1"/>
    <col min="12556" max="12557" width="13.125" style="228" customWidth="1"/>
    <col min="12558" max="12558" width="14.375" style="228" customWidth="1"/>
    <col min="12559" max="12561" width="11" style="228" customWidth="1"/>
    <col min="12562" max="12562" width="6.875" style="228" customWidth="1"/>
    <col min="12563" max="12563" width="7" style="228" customWidth="1"/>
    <col min="12564" max="12564" width="7.875" style="228" customWidth="1"/>
    <col min="12565" max="12800" width="9" style="228"/>
    <col min="12801" max="12801" width="28" style="228" customWidth="1"/>
    <col min="12802" max="12803" width="14.375" style="228" customWidth="1"/>
    <col min="12804" max="12805" width="13.125" style="228" customWidth="1"/>
    <col min="12806" max="12806" width="14.375" style="228" customWidth="1"/>
    <col min="12807" max="12807" width="8.125" style="228" customWidth="1"/>
    <col min="12808" max="12808" width="6.125" style="228" customWidth="1"/>
    <col min="12809" max="12809" width="11" style="228" customWidth="1"/>
    <col min="12810" max="12810" width="15.875" style="228" customWidth="1"/>
    <col min="12811" max="12811" width="14.375" style="228" customWidth="1"/>
    <col min="12812" max="12813" width="13.125" style="228" customWidth="1"/>
    <col min="12814" max="12814" width="14.375" style="228" customWidth="1"/>
    <col min="12815" max="12817" width="11" style="228" customWidth="1"/>
    <col min="12818" max="12818" width="6.875" style="228" customWidth="1"/>
    <col min="12819" max="12819" width="7" style="228" customWidth="1"/>
    <col min="12820" max="12820" width="7.875" style="228" customWidth="1"/>
    <col min="12821" max="13056" width="9" style="228"/>
    <col min="13057" max="13057" width="28" style="228" customWidth="1"/>
    <col min="13058" max="13059" width="14.375" style="228" customWidth="1"/>
    <col min="13060" max="13061" width="13.125" style="228" customWidth="1"/>
    <col min="13062" max="13062" width="14.375" style="228" customWidth="1"/>
    <col min="13063" max="13063" width="8.125" style="228" customWidth="1"/>
    <col min="13064" max="13064" width="6.125" style="228" customWidth="1"/>
    <col min="13065" max="13065" width="11" style="228" customWidth="1"/>
    <col min="13066" max="13066" width="15.875" style="228" customWidth="1"/>
    <col min="13067" max="13067" width="14.375" style="228" customWidth="1"/>
    <col min="13068" max="13069" width="13.125" style="228" customWidth="1"/>
    <col min="13070" max="13070" width="14.375" style="228" customWidth="1"/>
    <col min="13071" max="13073" width="11" style="228" customWidth="1"/>
    <col min="13074" max="13074" width="6.875" style="228" customWidth="1"/>
    <col min="13075" max="13075" width="7" style="228" customWidth="1"/>
    <col min="13076" max="13076" width="7.875" style="228" customWidth="1"/>
    <col min="13077" max="13312" width="9" style="228"/>
    <col min="13313" max="13313" width="28" style="228" customWidth="1"/>
    <col min="13314" max="13315" width="14.375" style="228" customWidth="1"/>
    <col min="13316" max="13317" width="13.125" style="228" customWidth="1"/>
    <col min="13318" max="13318" width="14.375" style="228" customWidth="1"/>
    <col min="13319" max="13319" width="8.125" style="228" customWidth="1"/>
    <col min="13320" max="13320" width="6.125" style="228" customWidth="1"/>
    <col min="13321" max="13321" width="11" style="228" customWidth="1"/>
    <col min="13322" max="13322" width="15.875" style="228" customWidth="1"/>
    <col min="13323" max="13323" width="14.375" style="228" customWidth="1"/>
    <col min="13324" max="13325" width="13.125" style="228" customWidth="1"/>
    <col min="13326" max="13326" width="14.375" style="228" customWidth="1"/>
    <col min="13327" max="13329" width="11" style="228" customWidth="1"/>
    <col min="13330" max="13330" width="6.875" style="228" customWidth="1"/>
    <col min="13331" max="13331" width="7" style="228" customWidth="1"/>
    <col min="13332" max="13332" width="7.875" style="228" customWidth="1"/>
    <col min="13333" max="13568" width="9" style="228"/>
    <col min="13569" max="13569" width="28" style="228" customWidth="1"/>
    <col min="13570" max="13571" width="14.375" style="228" customWidth="1"/>
    <col min="13572" max="13573" width="13.125" style="228" customWidth="1"/>
    <col min="13574" max="13574" width="14.375" style="228" customWidth="1"/>
    <col min="13575" max="13575" width="8.125" style="228" customWidth="1"/>
    <col min="13576" max="13576" width="6.125" style="228" customWidth="1"/>
    <col min="13577" max="13577" width="11" style="228" customWidth="1"/>
    <col min="13578" max="13578" width="15.875" style="228" customWidth="1"/>
    <col min="13579" max="13579" width="14.375" style="228" customWidth="1"/>
    <col min="13580" max="13581" width="13.125" style="228" customWidth="1"/>
    <col min="13582" max="13582" width="14.375" style="228" customWidth="1"/>
    <col min="13583" max="13585" width="11" style="228" customWidth="1"/>
    <col min="13586" max="13586" width="6.875" style="228" customWidth="1"/>
    <col min="13587" max="13587" width="7" style="228" customWidth="1"/>
    <col min="13588" max="13588" width="7.875" style="228" customWidth="1"/>
    <col min="13589" max="13824" width="9" style="228"/>
    <col min="13825" max="13825" width="28" style="228" customWidth="1"/>
    <col min="13826" max="13827" width="14.375" style="228" customWidth="1"/>
    <col min="13828" max="13829" width="13.125" style="228" customWidth="1"/>
    <col min="13830" max="13830" width="14.375" style="228" customWidth="1"/>
    <col min="13831" max="13831" width="8.125" style="228" customWidth="1"/>
    <col min="13832" max="13832" width="6.125" style="228" customWidth="1"/>
    <col min="13833" max="13833" width="11" style="228" customWidth="1"/>
    <col min="13834" max="13834" width="15.875" style="228" customWidth="1"/>
    <col min="13835" max="13835" width="14.375" style="228" customWidth="1"/>
    <col min="13836" max="13837" width="13.125" style="228" customWidth="1"/>
    <col min="13838" max="13838" width="14.375" style="228" customWidth="1"/>
    <col min="13839" max="13841" width="11" style="228" customWidth="1"/>
    <col min="13842" max="13842" width="6.875" style="228" customWidth="1"/>
    <col min="13843" max="13843" width="7" style="228" customWidth="1"/>
    <col min="13844" max="13844" width="7.875" style="228" customWidth="1"/>
    <col min="13845" max="14080" width="9" style="228"/>
    <col min="14081" max="14081" width="28" style="228" customWidth="1"/>
    <col min="14082" max="14083" width="14.375" style="228" customWidth="1"/>
    <col min="14084" max="14085" width="13.125" style="228" customWidth="1"/>
    <col min="14086" max="14086" width="14.375" style="228" customWidth="1"/>
    <col min="14087" max="14087" width="8.125" style="228" customWidth="1"/>
    <col min="14088" max="14088" width="6.125" style="228" customWidth="1"/>
    <col min="14089" max="14089" width="11" style="228" customWidth="1"/>
    <col min="14090" max="14090" width="15.875" style="228" customWidth="1"/>
    <col min="14091" max="14091" width="14.375" style="228" customWidth="1"/>
    <col min="14092" max="14093" width="13.125" style="228" customWidth="1"/>
    <col min="14094" max="14094" width="14.375" style="228" customWidth="1"/>
    <col min="14095" max="14097" width="11" style="228" customWidth="1"/>
    <col min="14098" max="14098" width="6.875" style="228" customWidth="1"/>
    <col min="14099" max="14099" width="7" style="228" customWidth="1"/>
    <col min="14100" max="14100" width="7.875" style="228" customWidth="1"/>
    <col min="14101" max="14336" width="9" style="228"/>
    <col min="14337" max="14337" width="28" style="228" customWidth="1"/>
    <col min="14338" max="14339" width="14.375" style="228" customWidth="1"/>
    <col min="14340" max="14341" width="13.125" style="228" customWidth="1"/>
    <col min="14342" max="14342" width="14.375" style="228" customWidth="1"/>
    <col min="14343" max="14343" width="8.125" style="228" customWidth="1"/>
    <col min="14344" max="14344" width="6.125" style="228" customWidth="1"/>
    <col min="14345" max="14345" width="11" style="228" customWidth="1"/>
    <col min="14346" max="14346" width="15.875" style="228" customWidth="1"/>
    <col min="14347" max="14347" width="14.375" style="228" customWidth="1"/>
    <col min="14348" max="14349" width="13.125" style="228" customWidth="1"/>
    <col min="14350" max="14350" width="14.375" style="228" customWidth="1"/>
    <col min="14351" max="14353" width="11" style="228" customWidth="1"/>
    <col min="14354" max="14354" width="6.875" style="228" customWidth="1"/>
    <col min="14355" max="14355" width="7" style="228" customWidth="1"/>
    <col min="14356" max="14356" width="7.875" style="228" customWidth="1"/>
    <col min="14357" max="14592" width="9" style="228"/>
    <col min="14593" max="14593" width="28" style="228" customWidth="1"/>
    <col min="14594" max="14595" width="14.375" style="228" customWidth="1"/>
    <col min="14596" max="14597" width="13.125" style="228" customWidth="1"/>
    <col min="14598" max="14598" width="14.375" style="228" customWidth="1"/>
    <col min="14599" max="14599" width="8.125" style="228" customWidth="1"/>
    <col min="14600" max="14600" width="6.125" style="228" customWidth="1"/>
    <col min="14601" max="14601" width="11" style="228" customWidth="1"/>
    <col min="14602" max="14602" width="15.875" style="228" customWidth="1"/>
    <col min="14603" max="14603" width="14.375" style="228" customWidth="1"/>
    <col min="14604" max="14605" width="13.125" style="228" customWidth="1"/>
    <col min="14606" max="14606" width="14.375" style="228" customWidth="1"/>
    <col min="14607" max="14609" width="11" style="228" customWidth="1"/>
    <col min="14610" max="14610" width="6.875" style="228" customWidth="1"/>
    <col min="14611" max="14611" width="7" style="228" customWidth="1"/>
    <col min="14612" max="14612" width="7.875" style="228" customWidth="1"/>
    <col min="14613" max="14848" width="9" style="228"/>
    <col min="14849" max="14849" width="28" style="228" customWidth="1"/>
    <col min="14850" max="14851" width="14.375" style="228" customWidth="1"/>
    <col min="14852" max="14853" width="13.125" style="228" customWidth="1"/>
    <col min="14854" max="14854" width="14.375" style="228" customWidth="1"/>
    <col min="14855" max="14855" width="8.125" style="228" customWidth="1"/>
    <col min="14856" max="14856" width="6.125" style="228" customWidth="1"/>
    <col min="14857" max="14857" width="11" style="228" customWidth="1"/>
    <col min="14858" max="14858" width="15.875" style="228" customWidth="1"/>
    <col min="14859" max="14859" width="14.375" style="228" customWidth="1"/>
    <col min="14860" max="14861" width="13.125" style="228" customWidth="1"/>
    <col min="14862" max="14862" width="14.375" style="228" customWidth="1"/>
    <col min="14863" max="14865" width="11" style="228" customWidth="1"/>
    <col min="14866" max="14866" width="6.875" style="228" customWidth="1"/>
    <col min="14867" max="14867" width="7" style="228" customWidth="1"/>
    <col min="14868" max="14868" width="7.875" style="228" customWidth="1"/>
    <col min="14869" max="15104" width="9" style="228"/>
    <col min="15105" max="15105" width="28" style="228" customWidth="1"/>
    <col min="15106" max="15107" width="14.375" style="228" customWidth="1"/>
    <col min="15108" max="15109" width="13.125" style="228" customWidth="1"/>
    <col min="15110" max="15110" width="14.375" style="228" customWidth="1"/>
    <col min="15111" max="15111" width="8.125" style="228" customWidth="1"/>
    <col min="15112" max="15112" width="6.125" style="228" customWidth="1"/>
    <col min="15113" max="15113" width="11" style="228" customWidth="1"/>
    <col min="15114" max="15114" width="15.875" style="228" customWidth="1"/>
    <col min="15115" max="15115" width="14.375" style="228" customWidth="1"/>
    <col min="15116" max="15117" width="13.125" style="228" customWidth="1"/>
    <col min="15118" max="15118" width="14.375" style="228" customWidth="1"/>
    <col min="15119" max="15121" width="11" style="228" customWidth="1"/>
    <col min="15122" max="15122" width="6.875" style="228" customWidth="1"/>
    <col min="15123" max="15123" width="7" style="228" customWidth="1"/>
    <col min="15124" max="15124" width="7.875" style="228" customWidth="1"/>
    <col min="15125" max="15360" width="9" style="228"/>
    <col min="15361" max="15361" width="28" style="228" customWidth="1"/>
    <col min="15362" max="15363" width="14.375" style="228" customWidth="1"/>
    <col min="15364" max="15365" width="13.125" style="228" customWidth="1"/>
    <col min="15366" max="15366" width="14.375" style="228" customWidth="1"/>
    <col min="15367" max="15367" width="8.125" style="228" customWidth="1"/>
    <col min="15368" max="15368" width="6.125" style="228" customWidth="1"/>
    <col min="15369" max="15369" width="11" style="228" customWidth="1"/>
    <col min="15370" max="15370" width="15.875" style="228" customWidth="1"/>
    <col min="15371" max="15371" width="14.375" style="228" customWidth="1"/>
    <col min="15372" max="15373" width="13.125" style="228" customWidth="1"/>
    <col min="15374" max="15374" width="14.375" style="228" customWidth="1"/>
    <col min="15375" max="15377" width="11" style="228" customWidth="1"/>
    <col min="15378" max="15378" width="6.875" style="228" customWidth="1"/>
    <col min="15379" max="15379" width="7" style="228" customWidth="1"/>
    <col min="15380" max="15380" width="7.875" style="228" customWidth="1"/>
    <col min="15381" max="15616" width="9" style="228"/>
    <col min="15617" max="15617" width="28" style="228" customWidth="1"/>
    <col min="15618" max="15619" width="14.375" style="228" customWidth="1"/>
    <col min="15620" max="15621" width="13.125" style="228" customWidth="1"/>
    <col min="15622" max="15622" width="14.375" style="228" customWidth="1"/>
    <col min="15623" max="15623" width="8.125" style="228" customWidth="1"/>
    <col min="15624" max="15624" width="6.125" style="228" customWidth="1"/>
    <col min="15625" max="15625" width="11" style="228" customWidth="1"/>
    <col min="15626" max="15626" width="15.875" style="228" customWidth="1"/>
    <col min="15627" max="15627" width="14.375" style="228" customWidth="1"/>
    <col min="15628" max="15629" width="13.125" style="228" customWidth="1"/>
    <col min="15630" max="15630" width="14.375" style="228" customWidth="1"/>
    <col min="15631" max="15633" width="11" style="228" customWidth="1"/>
    <col min="15634" max="15634" width="6.875" style="228" customWidth="1"/>
    <col min="15635" max="15635" width="7" style="228" customWidth="1"/>
    <col min="15636" max="15636" width="7.875" style="228" customWidth="1"/>
    <col min="15637" max="15872" width="9" style="228"/>
    <col min="15873" max="15873" width="28" style="228" customWidth="1"/>
    <col min="15874" max="15875" width="14.375" style="228" customWidth="1"/>
    <col min="15876" max="15877" width="13.125" style="228" customWidth="1"/>
    <col min="15878" max="15878" width="14.375" style="228" customWidth="1"/>
    <col min="15879" max="15879" width="8.125" style="228" customWidth="1"/>
    <col min="15880" max="15880" width="6.125" style="228" customWidth="1"/>
    <col min="15881" max="15881" width="11" style="228" customWidth="1"/>
    <col min="15882" max="15882" width="15.875" style="228" customWidth="1"/>
    <col min="15883" max="15883" width="14.375" style="228" customWidth="1"/>
    <col min="15884" max="15885" width="13.125" style="228" customWidth="1"/>
    <col min="15886" max="15886" width="14.375" style="228" customWidth="1"/>
    <col min="15887" max="15889" width="11" style="228" customWidth="1"/>
    <col min="15890" max="15890" width="6.875" style="228" customWidth="1"/>
    <col min="15891" max="15891" width="7" style="228" customWidth="1"/>
    <col min="15892" max="15892" width="7.875" style="228" customWidth="1"/>
    <col min="15893" max="16128" width="9" style="228"/>
    <col min="16129" max="16129" width="28" style="228" customWidth="1"/>
    <col min="16130" max="16131" width="14.375" style="228" customWidth="1"/>
    <col min="16132" max="16133" width="13.125" style="228" customWidth="1"/>
    <col min="16134" max="16134" width="14.375" style="228" customWidth="1"/>
    <col min="16135" max="16135" width="8.125" style="228" customWidth="1"/>
    <col min="16136" max="16136" width="6.125" style="228" customWidth="1"/>
    <col min="16137" max="16137" width="11" style="228" customWidth="1"/>
    <col min="16138" max="16138" width="15.875" style="228" customWidth="1"/>
    <col min="16139" max="16139" width="14.375" style="228" customWidth="1"/>
    <col min="16140" max="16141" width="13.125" style="228" customWidth="1"/>
    <col min="16142" max="16142" width="14.375" style="228" customWidth="1"/>
    <col min="16143" max="16145" width="11" style="228" customWidth="1"/>
    <col min="16146" max="16146" width="6.875" style="228" customWidth="1"/>
    <col min="16147" max="16147" width="7" style="228" customWidth="1"/>
    <col min="16148" max="16148" width="7.875" style="228" customWidth="1"/>
    <col min="16149" max="16384" width="9" style="228"/>
  </cols>
  <sheetData>
    <row r="1" spans="1:38" s="116" customFormat="1" ht="26.25" x14ac:dyDescent="0.4">
      <c r="A1" s="314" t="s">
        <v>315</v>
      </c>
      <c r="B1" s="314"/>
      <c r="C1" s="314"/>
      <c r="D1" s="314"/>
      <c r="E1" s="314"/>
      <c r="F1" s="314"/>
      <c r="G1" s="314"/>
      <c r="H1" s="314"/>
      <c r="I1" s="314"/>
      <c r="J1" s="314"/>
      <c r="K1" s="314"/>
      <c r="L1" s="314"/>
      <c r="M1" s="314"/>
      <c r="N1" s="314"/>
      <c r="O1" s="314"/>
      <c r="P1" s="314"/>
      <c r="Q1" s="314"/>
      <c r="R1" s="314"/>
      <c r="S1" s="314"/>
      <c r="T1" s="314"/>
    </row>
    <row r="2" spans="1:38" s="116" customFormat="1" ht="26.25" x14ac:dyDescent="0.4">
      <c r="A2" s="117" t="s">
        <v>459</v>
      </c>
      <c r="B2" s="118"/>
      <c r="C2" s="118"/>
      <c r="D2" s="118"/>
      <c r="E2" s="118"/>
      <c r="F2" s="118"/>
      <c r="I2" s="126" t="s">
        <v>1</v>
      </c>
      <c r="J2" s="126"/>
      <c r="K2" s="126"/>
      <c r="L2" s="126"/>
      <c r="M2" s="126"/>
      <c r="N2" s="126"/>
      <c r="O2" s="126"/>
      <c r="P2" s="126"/>
      <c r="Q2" s="126"/>
      <c r="R2" s="230"/>
    </row>
    <row r="3" spans="1:38" s="116" customFormat="1" ht="26.25" x14ac:dyDescent="0.4">
      <c r="A3" s="125"/>
      <c r="B3" s="118"/>
      <c r="C3" s="118"/>
      <c r="D3" s="118"/>
      <c r="E3" s="118"/>
      <c r="F3" s="118"/>
      <c r="I3" s="126"/>
      <c r="J3" s="126"/>
      <c r="K3" s="126"/>
      <c r="L3" s="126"/>
      <c r="M3" s="126"/>
      <c r="N3" s="126"/>
      <c r="O3" s="126"/>
      <c r="P3" s="126"/>
      <c r="Q3" s="126"/>
      <c r="R3" s="230"/>
    </row>
    <row r="4" spans="1:38" s="184" customFormat="1" ht="21" x14ac:dyDescent="0.2">
      <c r="A4" s="323" t="s">
        <v>460</v>
      </c>
      <c r="B4" s="318" t="s">
        <v>2</v>
      </c>
      <c r="C4" s="318"/>
      <c r="D4" s="318"/>
      <c r="E4" s="318"/>
      <c r="F4" s="318"/>
      <c r="G4" s="318"/>
      <c r="H4" s="318"/>
      <c r="I4" s="318"/>
      <c r="J4" s="318" t="s">
        <v>3</v>
      </c>
      <c r="K4" s="318"/>
      <c r="L4" s="318"/>
      <c r="M4" s="318"/>
      <c r="N4" s="318"/>
      <c r="O4" s="318"/>
      <c r="P4" s="318"/>
      <c r="Q4" s="318"/>
      <c r="R4" s="325" t="s">
        <v>4</v>
      </c>
      <c r="S4" s="325"/>
      <c r="T4" s="325"/>
      <c r="U4" s="129"/>
      <c r="V4" s="129"/>
      <c r="W4" s="129"/>
      <c r="X4" s="129"/>
      <c r="Y4" s="129"/>
      <c r="Z4" s="129"/>
      <c r="AA4" s="129"/>
      <c r="AB4" s="129"/>
      <c r="AC4" s="129"/>
      <c r="AD4" s="129"/>
      <c r="AE4" s="129"/>
      <c r="AF4" s="129"/>
      <c r="AG4" s="129"/>
      <c r="AH4" s="129"/>
      <c r="AI4" s="129"/>
      <c r="AJ4" s="129"/>
      <c r="AK4" s="129"/>
      <c r="AL4" s="129"/>
    </row>
    <row r="5" spans="1:38" s="234" customFormat="1" ht="75" x14ac:dyDescent="0.2">
      <c r="A5" s="324"/>
      <c r="B5" s="231" t="s">
        <v>423</v>
      </c>
      <c r="C5" s="232" t="s">
        <v>7</v>
      </c>
      <c r="D5" s="233" t="s">
        <v>8</v>
      </c>
      <c r="E5" s="233" t="s">
        <v>9</v>
      </c>
      <c r="F5" s="233" t="s">
        <v>10</v>
      </c>
      <c r="G5" s="218" t="s">
        <v>321</v>
      </c>
      <c r="H5" s="218" t="s">
        <v>12</v>
      </c>
      <c r="I5" s="232" t="s">
        <v>13</v>
      </c>
      <c r="J5" s="231" t="s">
        <v>423</v>
      </c>
      <c r="K5" s="232" t="s">
        <v>7</v>
      </c>
      <c r="L5" s="233" t="s">
        <v>8</v>
      </c>
      <c r="M5" s="233" t="s">
        <v>9</v>
      </c>
      <c r="N5" s="233" t="s">
        <v>10</v>
      </c>
      <c r="O5" s="218" t="s">
        <v>321</v>
      </c>
      <c r="P5" s="218" t="s">
        <v>12</v>
      </c>
      <c r="Q5" s="232" t="s">
        <v>13</v>
      </c>
      <c r="R5" s="231" t="s">
        <v>14</v>
      </c>
      <c r="S5" s="231" t="s">
        <v>15</v>
      </c>
      <c r="T5" s="231" t="s">
        <v>16</v>
      </c>
    </row>
    <row r="6" spans="1:38" ht="31.5" x14ac:dyDescent="0.3">
      <c r="A6" s="113" t="s">
        <v>461</v>
      </c>
      <c r="B6" s="219">
        <v>350058891</v>
      </c>
      <c r="C6" s="219">
        <v>120723897.69</v>
      </c>
      <c r="D6" s="219">
        <v>18707757.319999997</v>
      </c>
      <c r="E6" s="219">
        <v>17135115.77</v>
      </c>
      <c r="F6" s="235">
        <f t="shared" ref="F6:F14" si="0">SUM(B6:E6)</f>
        <v>506625661.77999997</v>
      </c>
      <c r="G6" s="147">
        <v>30</v>
      </c>
      <c r="H6" s="236" t="s">
        <v>19</v>
      </c>
      <c r="I6" s="179">
        <f t="shared" ref="I6:I21" si="1">F6/G6</f>
        <v>16887522.059333332</v>
      </c>
      <c r="J6" s="66">
        <v>301931934.34322101</v>
      </c>
      <c r="K6" s="66">
        <v>107664623.744555</v>
      </c>
      <c r="L6" s="66">
        <v>18547838.180921998</v>
      </c>
      <c r="M6" s="66">
        <v>18006087.181260005</v>
      </c>
      <c r="N6" s="179">
        <f>SUM(J6:M6)</f>
        <v>446150483.44995797</v>
      </c>
      <c r="O6" s="179">
        <v>32</v>
      </c>
      <c r="P6" s="179" t="s">
        <v>19</v>
      </c>
      <c r="Q6" s="179">
        <f t="shared" ref="Q6:Q11" si="2">+N6/O6</f>
        <v>13942202.607811186</v>
      </c>
      <c r="R6" s="237">
        <f t="shared" ref="R6:R23" si="3">(N6-F6)/F6*100</f>
        <v>-11.9368565179991</v>
      </c>
      <c r="S6" s="237" t="e">
        <f t="shared" ref="S6:T23" si="4">(P6-H6)/H6*100</f>
        <v>#VALUE!</v>
      </c>
      <c r="T6" s="237">
        <f t="shared" si="4"/>
        <v>-17.440802985624153</v>
      </c>
    </row>
    <row r="7" spans="1:38" ht="47.25" x14ac:dyDescent="0.3">
      <c r="A7" s="113" t="s">
        <v>462</v>
      </c>
      <c r="B7" s="219">
        <v>827796838.09000003</v>
      </c>
      <c r="C7" s="219">
        <v>264162088.14000002</v>
      </c>
      <c r="D7" s="219">
        <v>71972076.25999999</v>
      </c>
      <c r="E7" s="219">
        <v>83588427.789999992</v>
      </c>
      <c r="F7" s="235">
        <f t="shared" si="0"/>
        <v>1247519430.28</v>
      </c>
      <c r="G7" s="134">
        <v>2426</v>
      </c>
      <c r="H7" s="236" t="s">
        <v>38</v>
      </c>
      <c r="I7" s="179">
        <f t="shared" si="1"/>
        <v>514228.94900247321</v>
      </c>
      <c r="J7" s="81">
        <v>1044466319.2286761</v>
      </c>
      <c r="K7" s="81">
        <v>268610307.006118</v>
      </c>
      <c r="L7" s="81">
        <v>64776418.249173008</v>
      </c>
      <c r="M7" s="81">
        <v>81678808.901681989</v>
      </c>
      <c r="N7" s="179">
        <f t="shared" ref="N7:N21" si="5">SUM(J7:M7)</f>
        <v>1459531853.385649</v>
      </c>
      <c r="O7" s="179">
        <v>2502</v>
      </c>
      <c r="P7" s="179" t="s">
        <v>38</v>
      </c>
      <c r="Q7" s="179">
        <f t="shared" si="2"/>
        <v>583346.06450265751</v>
      </c>
      <c r="R7" s="237">
        <f t="shared" si="3"/>
        <v>16.994719116965079</v>
      </c>
      <c r="S7" s="237" t="e">
        <f t="shared" si="4"/>
        <v>#VALUE!</v>
      </c>
      <c r="T7" s="237">
        <f t="shared" si="4"/>
        <v>13.440922692948559</v>
      </c>
    </row>
    <row r="8" spans="1:38" ht="31.5" x14ac:dyDescent="0.3">
      <c r="A8" s="196" t="s">
        <v>463</v>
      </c>
      <c r="B8" s="219">
        <v>428994660.11000001</v>
      </c>
      <c r="C8" s="219">
        <v>141930919.40000001</v>
      </c>
      <c r="D8" s="219">
        <v>20948348.719999999</v>
      </c>
      <c r="E8" s="219">
        <v>13640004.710000001</v>
      </c>
      <c r="F8" s="235">
        <f t="shared" si="0"/>
        <v>605513932.94000006</v>
      </c>
      <c r="G8" s="147">
        <v>4513383</v>
      </c>
      <c r="H8" s="236" t="s">
        <v>52</v>
      </c>
      <c r="I8" s="179">
        <f t="shared" si="1"/>
        <v>134.15966093283021</v>
      </c>
      <c r="J8" s="81">
        <v>499953437.88877398</v>
      </c>
      <c r="K8" s="81">
        <v>540656176.02433097</v>
      </c>
      <c r="L8" s="81">
        <v>40449512.642923005</v>
      </c>
      <c r="M8" s="81">
        <v>93712779.028045982</v>
      </c>
      <c r="N8" s="179">
        <f t="shared" si="5"/>
        <v>1174771905.584074</v>
      </c>
      <c r="O8" s="179">
        <v>6781719</v>
      </c>
      <c r="P8" s="179" t="s">
        <v>52</v>
      </c>
      <c r="Q8" s="179">
        <f t="shared" si="2"/>
        <v>173.22627280547513</v>
      </c>
      <c r="R8" s="237">
        <f t="shared" si="3"/>
        <v>94.012365641218253</v>
      </c>
      <c r="S8" s="237" t="e">
        <f t="shared" si="4"/>
        <v>#VALUE!</v>
      </c>
      <c r="T8" s="237">
        <f t="shared" si="4"/>
        <v>29.119492104414629</v>
      </c>
    </row>
    <row r="9" spans="1:38" ht="31.5" customHeight="1" x14ac:dyDescent="0.3">
      <c r="A9" s="113" t="s">
        <v>464</v>
      </c>
      <c r="B9" s="219">
        <v>519823931.19</v>
      </c>
      <c r="C9" s="219">
        <v>569406798.75999999</v>
      </c>
      <c r="D9" s="219">
        <v>33614203.789999999</v>
      </c>
      <c r="E9" s="219">
        <v>118068718.25</v>
      </c>
      <c r="F9" s="235">
        <f t="shared" si="0"/>
        <v>1240913651.99</v>
      </c>
      <c r="G9" s="147">
        <v>309889</v>
      </c>
      <c r="H9" s="178" t="s">
        <v>49</v>
      </c>
      <c r="I9" s="179">
        <f t="shared" si="1"/>
        <v>4004.38109126171</v>
      </c>
      <c r="J9" s="81">
        <v>407584886.14369124</v>
      </c>
      <c r="K9" s="81">
        <v>224944645.79819611</v>
      </c>
      <c r="L9" s="81">
        <v>29772068.222132079</v>
      </c>
      <c r="M9" s="81">
        <v>36130038.037302941</v>
      </c>
      <c r="N9" s="179">
        <f t="shared" si="5"/>
        <v>698431638.20132244</v>
      </c>
      <c r="O9" s="179">
        <v>323575</v>
      </c>
      <c r="P9" s="179" t="s">
        <v>49</v>
      </c>
      <c r="Q9" s="179">
        <f t="shared" si="2"/>
        <v>2158.4845497993429</v>
      </c>
      <c r="R9" s="237">
        <f t="shared" si="3"/>
        <v>-43.716338596059643</v>
      </c>
      <c r="S9" s="237" t="e">
        <f t="shared" si="4"/>
        <v>#VALUE!</v>
      </c>
      <c r="T9" s="237">
        <f t="shared" si="4"/>
        <v>-46.096924827920354</v>
      </c>
    </row>
    <row r="10" spans="1:38" ht="31.5" x14ac:dyDescent="0.3">
      <c r="A10" s="113" t="s">
        <v>465</v>
      </c>
      <c r="B10" s="221">
        <v>636440286.87999988</v>
      </c>
      <c r="C10" s="221">
        <v>285096558.62</v>
      </c>
      <c r="D10" s="221">
        <v>47529668.369999997</v>
      </c>
      <c r="E10" s="221">
        <v>37094868.859999999</v>
      </c>
      <c r="F10" s="235">
        <f t="shared" si="0"/>
        <v>1006161382.7299999</v>
      </c>
      <c r="G10" s="147">
        <v>1994502</v>
      </c>
      <c r="H10" s="178" t="s">
        <v>49</v>
      </c>
      <c r="I10" s="179">
        <f t="shared" si="1"/>
        <v>504.46747244675606</v>
      </c>
      <c r="J10" s="81">
        <v>463573613.34813428</v>
      </c>
      <c r="K10" s="81">
        <v>145786883.3299064</v>
      </c>
      <c r="L10" s="81">
        <v>33214407.222108897</v>
      </c>
      <c r="M10" s="81">
        <v>26273346.750715103</v>
      </c>
      <c r="N10" s="179">
        <f t="shared" si="5"/>
        <v>668848250.65086472</v>
      </c>
      <c r="O10" s="179">
        <v>2330215</v>
      </c>
      <c r="P10" s="179" t="s">
        <v>49</v>
      </c>
      <c r="Q10" s="179">
        <f t="shared" si="2"/>
        <v>287.03284917952408</v>
      </c>
      <c r="R10" s="237">
        <f t="shared" si="3"/>
        <v>-33.524754365339426</v>
      </c>
      <c r="S10" s="237" t="e">
        <f t="shared" si="4"/>
        <v>#VALUE!</v>
      </c>
      <c r="T10" s="237">
        <f t="shared" si="4"/>
        <v>-43.101812335418927</v>
      </c>
    </row>
    <row r="11" spans="1:38" ht="31.5" x14ac:dyDescent="0.3">
      <c r="A11" s="113" t="s">
        <v>466</v>
      </c>
      <c r="B11" s="221">
        <v>127950802.28</v>
      </c>
      <c r="C11" s="221">
        <v>14425664.210000001</v>
      </c>
      <c r="D11" s="221">
        <v>7857493.1900000004</v>
      </c>
      <c r="E11" s="221">
        <v>7237059.6100000003</v>
      </c>
      <c r="F11" s="235">
        <f t="shared" si="0"/>
        <v>157471019.29000002</v>
      </c>
      <c r="G11" s="147">
        <v>21</v>
      </c>
      <c r="H11" s="236" t="s">
        <v>146</v>
      </c>
      <c r="I11" s="179">
        <f t="shared" si="1"/>
        <v>7498619.9661904769</v>
      </c>
      <c r="J11" s="81">
        <v>101070478.24409097</v>
      </c>
      <c r="K11" s="81">
        <v>15239425.935067</v>
      </c>
      <c r="L11" s="81">
        <v>6436006.6740599992</v>
      </c>
      <c r="M11" s="81">
        <v>6414224.192073998</v>
      </c>
      <c r="N11" s="179">
        <f t="shared" si="5"/>
        <v>129160135.04529198</v>
      </c>
      <c r="O11" s="179">
        <v>40</v>
      </c>
      <c r="P11" s="236" t="s">
        <v>146</v>
      </c>
      <c r="Q11" s="179">
        <f t="shared" si="2"/>
        <v>3229003.3761322992</v>
      </c>
      <c r="R11" s="237">
        <f>(N11-F11)/F11*100</f>
        <v>-17.978472719840894</v>
      </c>
      <c r="S11" s="237" t="e">
        <f>(P11-H11)/H11*100</f>
        <v>#VALUE!</v>
      </c>
      <c r="T11" s="237">
        <f>(Q11-I11)/I11*100</f>
        <v>-56.938698177916471</v>
      </c>
    </row>
    <row r="12" spans="1:38" ht="47.25" x14ac:dyDescent="0.3">
      <c r="A12" s="113" t="s">
        <v>467</v>
      </c>
      <c r="B12" s="221">
        <v>63906408.060000002</v>
      </c>
      <c r="C12" s="221">
        <v>4432735.78</v>
      </c>
      <c r="D12" s="221">
        <v>2030412.08</v>
      </c>
      <c r="E12" s="221">
        <v>2474673.41</v>
      </c>
      <c r="F12" s="235">
        <f t="shared" si="0"/>
        <v>72844229.329999998</v>
      </c>
      <c r="G12" s="147">
        <v>34908</v>
      </c>
      <c r="H12" s="236" t="s">
        <v>19</v>
      </c>
      <c r="I12" s="179">
        <f t="shared" si="1"/>
        <v>2086.7488635842788</v>
      </c>
      <c r="J12" s="81">
        <v>57038792.382368006</v>
      </c>
      <c r="K12" s="81">
        <v>13335808.935978001</v>
      </c>
      <c r="L12" s="81">
        <v>4184090.3357579997</v>
      </c>
      <c r="M12" s="81">
        <v>6342468.5247099996</v>
      </c>
      <c r="N12" s="179">
        <f>SUM(J12:M12)</f>
        <v>80901160.178814009</v>
      </c>
      <c r="O12" s="179">
        <v>36892</v>
      </c>
      <c r="P12" s="179" t="s">
        <v>19</v>
      </c>
      <c r="Q12" s="179">
        <f>+N12/O12</f>
        <v>2192.9187948285266</v>
      </c>
      <c r="R12" s="237">
        <f>(N12-F12)/F12*100</f>
        <v>11.060492949021924</v>
      </c>
      <c r="S12" s="237" t="e">
        <f>(P12-H12)/H12*100</f>
        <v>#VALUE!</v>
      </c>
      <c r="T12" s="237">
        <f>(Q12-I12)/I12*100</f>
        <v>5.0878154576725825</v>
      </c>
    </row>
    <row r="13" spans="1:38" ht="31.5" x14ac:dyDescent="0.3">
      <c r="A13" s="113" t="s">
        <v>468</v>
      </c>
      <c r="B13" s="221">
        <v>56643256.609999999</v>
      </c>
      <c r="C13" s="221">
        <v>9372028.9399999995</v>
      </c>
      <c r="D13" s="221">
        <v>2744660.32</v>
      </c>
      <c r="E13" s="221">
        <v>2459399.29</v>
      </c>
      <c r="F13" s="235">
        <f t="shared" si="0"/>
        <v>71219345.159999996</v>
      </c>
      <c r="G13" s="147">
        <v>487</v>
      </c>
      <c r="H13" s="236" t="s">
        <v>38</v>
      </c>
      <c r="I13" s="179">
        <f t="shared" si="1"/>
        <v>146240.9551540041</v>
      </c>
      <c r="J13" s="179">
        <v>73508131.167194009</v>
      </c>
      <c r="K13" s="179">
        <v>12511849.525164999</v>
      </c>
      <c r="L13" s="179">
        <v>2088381.1554100001</v>
      </c>
      <c r="M13" s="179">
        <v>2180139.0354260001</v>
      </c>
      <c r="N13" s="179">
        <f>SUM(J13:M13)</f>
        <v>90288500.883195013</v>
      </c>
      <c r="O13" s="179">
        <v>565</v>
      </c>
      <c r="P13" s="236" t="s">
        <v>38</v>
      </c>
      <c r="Q13" s="179">
        <f>+N13/O13</f>
        <v>159802.65643043365</v>
      </c>
      <c r="R13" s="237">
        <f t="shared" si="3"/>
        <v>26.775247203347096</v>
      </c>
      <c r="S13" s="237" t="e">
        <f t="shared" si="4"/>
        <v>#VALUE!</v>
      </c>
      <c r="T13" s="237">
        <f t="shared" si="4"/>
        <v>9.2735316602301534</v>
      </c>
    </row>
    <row r="14" spans="1:38" ht="31.5" x14ac:dyDescent="0.3">
      <c r="A14" s="113" t="s">
        <v>469</v>
      </c>
      <c r="B14" s="221">
        <v>29297377.129999999</v>
      </c>
      <c r="C14" s="221">
        <v>25120309.960000001</v>
      </c>
      <c r="D14" s="221">
        <v>2466684.98</v>
      </c>
      <c r="E14" s="221">
        <v>3898439.87</v>
      </c>
      <c r="F14" s="235">
        <f t="shared" si="0"/>
        <v>60782811.939999998</v>
      </c>
      <c r="G14" s="147">
        <v>159</v>
      </c>
      <c r="H14" s="236" t="s">
        <v>38</v>
      </c>
      <c r="I14" s="179">
        <f t="shared" si="1"/>
        <v>382281.83610062889</v>
      </c>
      <c r="J14" s="179">
        <v>33691983.699499995</v>
      </c>
      <c r="K14" s="179">
        <v>28888356.454</v>
      </c>
      <c r="L14" s="179">
        <v>2836687.727</v>
      </c>
      <c r="M14" s="179">
        <v>4483205.8504999997</v>
      </c>
      <c r="N14" s="179">
        <f t="shared" si="5"/>
        <v>69900233.730999991</v>
      </c>
      <c r="O14" s="179">
        <v>165</v>
      </c>
      <c r="P14" s="236" t="s">
        <v>38</v>
      </c>
      <c r="Q14" s="179">
        <f>+N14/O14</f>
        <v>423637.78018787876</v>
      </c>
      <c r="R14" s="237">
        <f t="shared" si="3"/>
        <v>14.999999999999991</v>
      </c>
      <c r="S14" s="237" t="e">
        <f t="shared" si="4"/>
        <v>#VALUE!</v>
      </c>
      <c r="T14" s="237">
        <f t="shared" si="4"/>
        <v>10.818181818181822</v>
      </c>
    </row>
    <row r="15" spans="1:38" ht="31.5" x14ac:dyDescent="0.3">
      <c r="A15" s="113" t="s">
        <v>470</v>
      </c>
      <c r="B15" s="221">
        <v>82857642.760000005</v>
      </c>
      <c r="C15" s="221">
        <v>19246714.390000001</v>
      </c>
      <c r="D15" s="221">
        <v>4931731.84</v>
      </c>
      <c r="E15" s="221">
        <v>8723862.7300000004</v>
      </c>
      <c r="F15" s="235">
        <f t="shared" ref="F15:F23" si="6">SUM(B15:E15)</f>
        <v>115759951.72000001</v>
      </c>
      <c r="G15" s="147">
        <v>829</v>
      </c>
      <c r="H15" s="236" t="s">
        <v>38</v>
      </c>
      <c r="I15" s="179">
        <f t="shared" si="1"/>
        <v>139638.05997587455</v>
      </c>
      <c r="J15" s="81">
        <v>81244929.822695985</v>
      </c>
      <c r="K15" s="81">
        <v>23537152.362906002</v>
      </c>
      <c r="L15" s="81">
        <v>5527165.6200329354</v>
      </c>
      <c r="M15" s="81">
        <v>9128812.2572980002</v>
      </c>
      <c r="N15" s="179">
        <f>SUM(J15:M15)</f>
        <v>119438060.06293291</v>
      </c>
      <c r="O15" s="179">
        <v>830</v>
      </c>
      <c r="P15" s="236" t="s">
        <v>38</v>
      </c>
      <c r="Q15" s="179">
        <f>+N15/O15</f>
        <v>143901.27718425653</v>
      </c>
      <c r="R15" s="237">
        <f t="shared" si="3"/>
        <v>3.1773582212866649</v>
      </c>
      <c r="S15" s="237" t="e">
        <f t="shared" si="4"/>
        <v>#VALUE!</v>
      </c>
      <c r="T15" s="237">
        <f t="shared" si="4"/>
        <v>3.0530481511405534</v>
      </c>
    </row>
    <row r="16" spans="1:38" ht="47.25" x14ac:dyDescent="0.3">
      <c r="A16" s="113" t="s">
        <v>471</v>
      </c>
      <c r="B16" s="221">
        <v>75022815.489999995</v>
      </c>
      <c r="C16" s="221">
        <v>7182471.1900000004</v>
      </c>
      <c r="D16" s="221">
        <v>3925875.27</v>
      </c>
      <c r="E16" s="221">
        <v>3735296.09</v>
      </c>
      <c r="F16" s="235">
        <f t="shared" si="6"/>
        <v>89866458.039999992</v>
      </c>
      <c r="G16" s="147">
        <v>10</v>
      </c>
      <c r="H16" s="236" t="s">
        <v>146</v>
      </c>
      <c r="I16" s="179">
        <f t="shared" si="1"/>
        <v>8986645.8039999995</v>
      </c>
      <c r="J16" s="179">
        <v>65137184.310031019</v>
      </c>
      <c r="K16" s="179">
        <v>19178315.698188998</v>
      </c>
      <c r="L16" s="179">
        <v>4122313.4407899999</v>
      </c>
      <c r="M16" s="179">
        <v>3563354.3420839999</v>
      </c>
      <c r="N16" s="179">
        <v>92001167.79109402</v>
      </c>
      <c r="O16" s="179">
        <v>14</v>
      </c>
      <c r="P16" s="236" t="s">
        <v>146</v>
      </c>
      <c r="Q16" s="179">
        <v>6571511.9850781439</v>
      </c>
      <c r="R16" s="237">
        <f t="shared" si="3"/>
        <v>2.3754243770727661</v>
      </c>
      <c r="S16" s="237" t="e">
        <f t="shared" si="4"/>
        <v>#VALUE!</v>
      </c>
      <c r="T16" s="237">
        <f t="shared" si="4"/>
        <v>-26.874696873519461</v>
      </c>
    </row>
    <row r="17" spans="1:20" ht="31.5" x14ac:dyDescent="0.3">
      <c r="A17" s="113" t="s">
        <v>472</v>
      </c>
      <c r="B17" s="221">
        <v>3029568.87</v>
      </c>
      <c r="C17" s="221">
        <v>631157.44999999995</v>
      </c>
      <c r="D17" s="221">
        <v>357831.54</v>
      </c>
      <c r="E17" s="221">
        <v>1070485.28</v>
      </c>
      <c r="F17" s="235">
        <f t="shared" si="6"/>
        <v>5089043.1400000006</v>
      </c>
      <c r="G17" s="147">
        <v>30</v>
      </c>
      <c r="H17" s="236" t="s">
        <v>100</v>
      </c>
      <c r="I17" s="179">
        <f t="shared" si="1"/>
        <v>169634.77133333337</v>
      </c>
      <c r="J17" s="81">
        <v>8346984.0486559989</v>
      </c>
      <c r="K17" s="81">
        <v>2482176.2756629996</v>
      </c>
      <c r="L17" s="81">
        <v>346861.79043399997</v>
      </c>
      <c r="M17" s="81">
        <v>2501154.6857429994</v>
      </c>
      <c r="N17" s="179">
        <f t="shared" si="5"/>
        <v>13677176.800495997</v>
      </c>
      <c r="O17" s="179">
        <v>56</v>
      </c>
      <c r="P17" s="179" t="s">
        <v>100</v>
      </c>
      <c r="Q17" s="179">
        <f t="shared" ref="Q17:Q23" si="7">+N17/O17</f>
        <v>244235.3000088571</v>
      </c>
      <c r="R17" s="237">
        <f t="shared" si="3"/>
        <v>168.75733658048722</v>
      </c>
      <c r="S17" s="237" t="e">
        <f t="shared" si="4"/>
        <v>#VALUE!</v>
      </c>
      <c r="T17" s="237">
        <f t="shared" si="4"/>
        <v>43.977144596689577</v>
      </c>
    </row>
    <row r="18" spans="1:20" ht="31.5" x14ac:dyDescent="0.3">
      <c r="A18" s="113" t="s">
        <v>473</v>
      </c>
      <c r="B18" s="221">
        <v>22142690.710000001</v>
      </c>
      <c r="C18" s="221">
        <v>15030139.970000001</v>
      </c>
      <c r="D18" s="221">
        <v>1269407.54</v>
      </c>
      <c r="E18" s="221">
        <v>1684300.49</v>
      </c>
      <c r="F18" s="235">
        <f t="shared" si="6"/>
        <v>40126538.710000001</v>
      </c>
      <c r="G18" s="147">
        <v>19</v>
      </c>
      <c r="H18" s="236" t="s">
        <v>19</v>
      </c>
      <c r="I18" s="179">
        <f t="shared" si="1"/>
        <v>2111923.09</v>
      </c>
      <c r="J18" s="81">
        <v>18384301.238681003</v>
      </c>
      <c r="K18" s="81">
        <v>1758376.8091259999</v>
      </c>
      <c r="L18" s="81">
        <v>1165481.58005</v>
      </c>
      <c r="M18" s="81">
        <v>1726125.5581240002</v>
      </c>
      <c r="N18" s="179">
        <f t="shared" si="5"/>
        <v>23034285.185981005</v>
      </c>
      <c r="O18" s="179">
        <v>13</v>
      </c>
      <c r="P18" s="179" t="s">
        <v>19</v>
      </c>
      <c r="Q18" s="179">
        <f t="shared" si="7"/>
        <v>1771868.0912293082</v>
      </c>
      <c r="R18" s="237">
        <f t="shared" si="3"/>
        <v>-42.595883107553973</v>
      </c>
      <c r="S18" s="237" t="e">
        <f t="shared" si="4"/>
        <v>#VALUE!</v>
      </c>
      <c r="T18" s="237">
        <f t="shared" si="4"/>
        <v>-16.10167531104041</v>
      </c>
    </row>
    <row r="19" spans="1:20" ht="31.5" x14ac:dyDescent="0.3">
      <c r="A19" s="113" t="s">
        <v>474</v>
      </c>
      <c r="B19" s="221">
        <v>26955155.809999999</v>
      </c>
      <c r="C19" s="221">
        <v>4314103.83</v>
      </c>
      <c r="D19" s="221">
        <v>2294656.6</v>
      </c>
      <c r="E19" s="221">
        <v>4111155.63</v>
      </c>
      <c r="F19" s="235">
        <f t="shared" si="6"/>
        <v>37675071.870000005</v>
      </c>
      <c r="G19" s="147">
        <v>8800</v>
      </c>
      <c r="H19" s="236" t="s">
        <v>52</v>
      </c>
      <c r="I19" s="179">
        <f t="shared" si="1"/>
        <v>4281.2581670454547</v>
      </c>
      <c r="J19" s="179">
        <v>22911882.438499998</v>
      </c>
      <c r="K19" s="179">
        <v>3666988.2555</v>
      </c>
      <c r="L19" s="179">
        <v>1950458.11</v>
      </c>
      <c r="M19" s="179">
        <v>4444482.2855000002</v>
      </c>
      <c r="N19" s="179">
        <f t="shared" si="5"/>
        <v>32973811.089499999</v>
      </c>
      <c r="O19" s="179">
        <v>8320</v>
      </c>
      <c r="P19" s="236" t="s">
        <v>52</v>
      </c>
      <c r="Q19" s="179">
        <f t="shared" si="7"/>
        <v>3963.1984482572116</v>
      </c>
      <c r="R19" s="237">
        <f t="shared" si="3"/>
        <v>-12.478438784992834</v>
      </c>
      <c r="S19" s="237" t="e">
        <f t="shared" si="4"/>
        <v>#VALUE!</v>
      </c>
      <c r="T19" s="237">
        <f t="shared" si="4"/>
        <v>-7.4291179456654852</v>
      </c>
    </row>
    <row r="20" spans="1:20" ht="31.5" x14ac:dyDescent="0.3">
      <c r="A20" s="113" t="s">
        <v>475</v>
      </c>
      <c r="B20" s="221">
        <v>22708627.600000001</v>
      </c>
      <c r="C20" s="221">
        <v>2323512.4700000002</v>
      </c>
      <c r="D20" s="221">
        <v>1045461.12</v>
      </c>
      <c r="E20" s="221">
        <v>2367976.5699999998</v>
      </c>
      <c r="F20" s="235">
        <f t="shared" si="6"/>
        <v>28445577.760000002</v>
      </c>
      <c r="G20" s="147">
        <v>15</v>
      </c>
      <c r="H20" s="236" t="s">
        <v>38</v>
      </c>
      <c r="I20" s="179">
        <f t="shared" si="1"/>
        <v>1896371.8506666669</v>
      </c>
      <c r="J20" s="179">
        <v>20672253.845459998</v>
      </c>
      <c r="K20" s="179">
        <v>11065837.503179999</v>
      </c>
      <c r="L20" s="179">
        <v>1173759.430435</v>
      </c>
      <c r="M20" s="179">
        <v>1436157.343715</v>
      </c>
      <c r="N20" s="179">
        <f>SUM(J20:M20)</f>
        <v>34348008.122789994</v>
      </c>
      <c r="O20" s="179">
        <v>17</v>
      </c>
      <c r="P20" s="236" t="s">
        <v>38</v>
      </c>
      <c r="Q20" s="179">
        <f t="shared" si="7"/>
        <v>2020471.0660464703</v>
      </c>
      <c r="R20" s="237">
        <f t="shared" si="3"/>
        <v>20.749905003124788</v>
      </c>
      <c r="S20" s="237" t="e">
        <f t="shared" si="4"/>
        <v>#VALUE!</v>
      </c>
      <c r="T20" s="237">
        <f t="shared" si="4"/>
        <v>6.5440338262865758</v>
      </c>
    </row>
    <row r="21" spans="1:20" ht="31.5" x14ac:dyDescent="0.3">
      <c r="A21" s="113" t="s">
        <v>476</v>
      </c>
      <c r="B21" s="221">
        <v>37443373.590000004</v>
      </c>
      <c r="C21" s="221">
        <v>37716619.560000002</v>
      </c>
      <c r="D21" s="221">
        <v>3572807.21</v>
      </c>
      <c r="E21" s="221">
        <v>4538097.95</v>
      </c>
      <c r="F21" s="235">
        <f t="shared" si="6"/>
        <v>83270898.310000002</v>
      </c>
      <c r="G21" s="147">
        <v>95</v>
      </c>
      <c r="H21" s="236" t="s">
        <v>38</v>
      </c>
      <c r="I21" s="179">
        <f t="shared" si="1"/>
        <v>876535.77168421051</v>
      </c>
      <c r="J21" s="179">
        <v>46804216.987500004</v>
      </c>
      <c r="K21" s="179">
        <v>47145774.450000003</v>
      </c>
      <c r="L21" s="179">
        <v>4466009.0125000002</v>
      </c>
      <c r="M21" s="179">
        <v>5672622.4375</v>
      </c>
      <c r="N21" s="179">
        <f t="shared" si="5"/>
        <v>104088622.8875</v>
      </c>
      <c r="O21" s="179">
        <v>98</v>
      </c>
      <c r="P21" s="236" t="s">
        <v>38</v>
      </c>
      <c r="Q21" s="179">
        <f t="shared" si="7"/>
        <v>1062128.8049744898</v>
      </c>
      <c r="R21" s="237">
        <f t="shared" si="3"/>
        <v>25</v>
      </c>
      <c r="S21" s="237" t="e">
        <f t="shared" si="4"/>
        <v>#VALUE!</v>
      </c>
      <c r="T21" s="237">
        <f t="shared" si="4"/>
        <v>21.173469387755109</v>
      </c>
    </row>
    <row r="22" spans="1:20" ht="31.5" x14ac:dyDescent="0.3">
      <c r="A22" s="113" t="s">
        <v>477</v>
      </c>
      <c r="B22" s="221">
        <v>46273117.979999997</v>
      </c>
      <c r="C22" s="221">
        <v>11297985.42</v>
      </c>
      <c r="D22" s="221">
        <v>862228.36</v>
      </c>
      <c r="E22" s="221">
        <v>754433.48</v>
      </c>
      <c r="F22" s="235">
        <f t="shared" si="6"/>
        <v>59187765.239999995</v>
      </c>
      <c r="G22" s="147">
        <v>4225</v>
      </c>
      <c r="H22" s="236" t="s">
        <v>38</v>
      </c>
      <c r="I22" s="179">
        <f>F22/G22</f>
        <v>14008.938518343193</v>
      </c>
      <c r="J22" s="216">
        <v>51907585.444236994</v>
      </c>
      <c r="K22" s="216">
        <v>11429855.143662</v>
      </c>
      <c r="L22" s="216">
        <v>1439355.158512</v>
      </c>
      <c r="M22" s="216">
        <v>1597117.6826270001</v>
      </c>
      <c r="N22" s="179">
        <f>SUM(J22:M22)</f>
        <v>66373913.429037996</v>
      </c>
      <c r="O22" s="179">
        <v>4500</v>
      </c>
      <c r="P22" s="236" t="s">
        <v>38</v>
      </c>
      <c r="Q22" s="179">
        <f t="shared" si="7"/>
        <v>14749.75853978622</v>
      </c>
      <c r="R22" s="237">
        <f t="shared" si="3"/>
        <v>12.141273048406113</v>
      </c>
      <c r="S22" s="237" t="e">
        <f t="shared" si="4"/>
        <v>#VALUE!</v>
      </c>
      <c r="T22" s="237">
        <f t="shared" si="4"/>
        <v>5.2881952510035166</v>
      </c>
    </row>
    <row r="23" spans="1:20" ht="47.25" x14ac:dyDescent="0.3">
      <c r="A23" s="222" t="s">
        <v>478</v>
      </c>
      <c r="B23" s="223">
        <v>8244184.3099999996</v>
      </c>
      <c r="C23" s="221">
        <v>1590708.56</v>
      </c>
      <c r="D23" s="221">
        <v>596747.99</v>
      </c>
      <c r="E23" s="221">
        <v>465073.66</v>
      </c>
      <c r="F23" s="235">
        <f t="shared" si="6"/>
        <v>10896714.52</v>
      </c>
      <c r="G23" s="147">
        <v>7</v>
      </c>
      <c r="H23" s="236" t="s">
        <v>38</v>
      </c>
      <c r="I23" s="179">
        <f>F23/G23</f>
        <v>1556673.5028571428</v>
      </c>
      <c r="J23" s="81">
        <v>8076151.0985899987</v>
      </c>
      <c r="K23" s="81">
        <v>1676321.8426590001</v>
      </c>
      <c r="L23" s="81">
        <v>575422.39775900007</v>
      </c>
      <c r="M23" s="81">
        <v>1746148.3614920001</v>
      </c>
      <c r="N23" s="179">
        <f>SUM(J23:M23)</f>
        <v>12074043.700499998</v>
      </c>
      <c r="O23" s="179">
        <v>10</v>
      </c>
      <c r="P23" s="236" t="s">
        <v>38</v>
      </c>
      <c r="Q23" s="179">
        <f t="shared" si="7"/>
        <v>1207404.3700499998</v>
      </c>
      <c r="R23" s="237">
        <f t="shared" si="3"/>
        <v>10.804441819037386</v>
      </c>
      <c r="S23" s="237" t="e">
        <f t="shared" si="4"/>
        <v>#VALUE!</v>
      </c>
      <c r="T23" s="237">
        <f t="shared" si="4"/>
        <v>-22.436890726673838</v>
      </c>
    </row>
    <row r="24" spans="1:20" ht="31.5" x14ac:dyDescent="0.3">
      <c r="A24" s="222" t="s">
        <v>479</v>
      </c>
      <c r="B24" s="223">
        <v>26202806.77</v>
      </c>
      <c r="C24" s="221">
        <v>4318908.75</v>
      </c>
      <c r="D24" s="221">
        <v>1853049.05</v>
      </c>
      <c r="E24" s="221">
        <v>1911807.1</v>
      </c>
      <c r="F24" s="235">
        <f>SUM(B24:E24)</f>
        <v>34286571.670000002</v>
      </c>
      <c r="G24" s="147">
        <v>26</v>
      </c>
      <c r="H24" s="236" t="s">
        <v>38</v>
      </c>
      <c r="I24" s="179">
        <f>F24/G24</f>
        <v>1318714.2950000002</v>
      </c>
      <c r="J24" s="308" t="s">
        <v>480</v>
      </c>
      <c r="K24" s="309"/>
      <c r="L24" s="309"/>
      <c r="M24" s="309"/>
      <c r="N24" s="309"/>
      <c r="O24" s="309"/>
      <c r="P24" s="309"/>
      <c r="Q24" s="310"/>
      <c r="R24" s="237">
        <f>(N24-F24)/F24*100</f>
        <v>-100</v>
      </c>
      <c r="S24" s="237" t="e">
        <f>(P24-H24)/H24*100</f>
        <v>#VALUE!</v>
      </c>
      <c r="T24" s="237">
        <f>(Q24-I24)/I24*100</f>
        <v>-100</v>
      </c>
    </row>
    <row r="25" spans="1:20" s="240" customFormat="1" ht="19.5" thickBot="1" x14ac:dyDescent="0.25">
      <c r="A25" s="238" t="s">
        <v>412</v>
      </c>
      <c r="B25" s="224">
        <f>SUM(B6:B24)</f>
        <v>3391792435.2400007</v>
      </c>
      <c r="C25" s="224">
        <f>SUM(C6:C24)</f>
        <v>1538323323.0900004</v>
      </c>
      <c r="D25" s="224">
        <f>SUM(D6:D24)</f>
        <v>228581101.55000001</v>
      </c>
      <c r="E25" s="224">
        <f>SUM(E6:E24)</f>
        <v>314959196.54000008</v>
      </c>
      <c r="F25" s="224">
        <f>SUM(F6:F24)</f>
        <v>5473656056.4200001</v>
      </c>
      <c r="G25" s="225"/>
      <c r="H25" s="239"/>
      <c r="I25" s="179" t="e">
        <f>F25/G25</f>
        <v>#DIV/0!</v>
      </c>
      <c r="J25" s="224">
        <f>SUM(J6:J24)</f>
        <v>3306305065.6800003</v>
      </c>
      <c r="K25" s="224">
        <f>SUM(K6:K24)</f>
        <v>1479578875.0942013</v>
      </c>
      <c r="L25" s="224">
        <f>SUM(L6:L24)</f>
        <v>223072236.9499999</v>
      </c>
      <c r="M25" s="224">
        <f>SUM(M6:M24)</f>
        <v>307037072.45579898</v>
      </c>
      <c r="N25" s="224">
        <f>SUM(N6:N24)</f>
        <v>5315993250.1800013</v>
      </c>
      <c r="O25" s="179"/>
      <c r="P25" s="179"/>
      <c r="Q25" s="179"/>
      <c r="R25" s="237">
        <f>(N25-F25)/F25*100</f>
        <v>-2.8803930063358218</v>
      </c>
      <c r="S25" s="237" t="e">
        <f>(P25-H25)/H25*100</f>
        <v>#DIV/0!</v>
      </c>
      <c r="T25" s="237" t="e">
        <f>(Q25-I25)/I25*100</f>
        <v>#DIV/0!</v>
      </c>
    </row>
    <row r="26" spans="1:20" ht="19.5" thickTop="1" x14ac:dyDescent="0.3"/>
    <row r="30" spans="1:20" x14ac:dyDescent="0.3">
      <c r="B30" s="226">
        <v>3391792435.2399998</v>
      </c>
      <c r="C30" s="226">
        <v>1538323323.0899999</v>
      </c>
      <c r="D30" s="226">
        <v>228581101.55090198</v>
      </c>
      <c r="E30" s="226">
        <v>314959196.54000002</v>
      </c>
      <c r="F30" s="226">
        <v>5473656056.4209003</v>
      </c>
      <c r="J30" s="226">
        <v>3306305065.6800003</v>
      </c>
      <c r="K30" s="226">
        <v>1479578875.0942013</v>
      </c>
      <c r="L30" s="226">
        <v>223072236.9499999</v>
      </c>
      <c r="M30" s="226">
        <v>307037072.45579898</v>
      </c>
      <c r="N30" s="226">
        <v>5315993250.1800003</v>
      </c>
    </row>
    <row r="31" spans="1:20" x14ac:dyDescent="0.3">
      <c r="B31" s="229">
        <f>+B30-B25</f>
        <v>0</v>
      </c>
      <c r="C31" s="229">
        <f>+C30-C25</f>
        <v>0</v>
      </c>
      <c r="D31" s="229">
        <f>+D30-D25</f>
        <v>9.0196728706359863E-4</v>
      </c>
      <c r="E31" s="229">
        <f>+E30-E25</f>
        <v>0</v>
      </c>
      <c r="F31" s="229">
        <f>+F30-F25</f>
        <v>9.002685546875E-4</v>
      </c>
    </row>
    <row r="32" spans="1:20" x14ac:dyDescent="0.3">
      <c r="B32" s="241"/>
      <c r="C32" s="241"/>
      <c r="D32" s="241"/>
      <c r="E32" s="241"/>
      <c r="F32" s="241"/>
    </row>
    <row r="33" spans="10:14" x14ac:dyDescent="0.3">
      <c r="J33" s="226">
        <f>+J30-J25</f>
        <v>0</v>
      </c>
      <c r="K33" s="226">
        <f>+K30-K25</f>
        <v>0</v>
      </c>
      <c r="L33" s="226">
        <f>+L30-L25</f>
        <v>0</v>
      </c>
      <c r="M33" s="226">
        <f>+M30-M25</f>
        <v>0</v>
      </c>
      <c r="N33" s="226">
        <f>+N30-N25</f>
        <v>0</v>
      </c>
    </row>
  </sheetData>
  <mergeCells count="6">
    <mergeCell ref="J24:Q24"/>
    <mergeCell ref="A1:T1"/>
    <mergeCell ref="A4:A5"/>
    <mergeCell ref="B4:I4"/>
    <mergeCell ref="J4:Q4"/>
    <mergeCell ref="R4:T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5" sqref="B5"/>
    </sheetView>
  </sheetViews>
  <sheetFormatPr defaultRowHeight="13.5" x14ac:dyDescent="0.25"/>
  <cols>
    <col min="1" max="1" width="13.875" style="242" customWidth="1"/>
    <col min="2" max="2" width="108.875" style="242" customWidth="1"/>
    <col min="3" max="256" width="9" style="108"/>
    <col min="257" max="257" width="13.875" style="108" customWidth="1"/>
    <col min="258" max="258" width="108.875" style="108" customWidth="1"/>
    <col min="259" max="512" width="9" style="108"/>
    <col min="513" max="513" width="13.875" style="108" customWidth="1"/>
    <col min="514" max="514" width="108.875" style="108" customWidth="1"/>
    <col min="515" max="768" width="9" style="108"/>
    <col min="769" max="769" width="13.875" style="108" customWidth="1"/>
    <col min="770" max="770" width="108.875" style="108" customWidth="1"/>
    <col min="771" max="1024" width="9" style="108"/>
    <col min="1025" max="1025" width="13.875" style="108" customWidth="1"/>
    <col min="1026" max="1026" width="108.875" style="108" customWidth="1"/>
    <col min="1027" max="1280" width="9" style="108"/>
    <col min="1281" max="1281" width="13.875" style="108" customWidth="1"/>
    <col min="1282" max="1282" width="108.875" style="108" customWidth="1"/>
    <col min="1283" max="1536" width="9" style="108"/>
    <col min="1537" max="1537" width="13.875" style="108" customWidth="1"/>
    <col min="1538" max="1538" width="108.875" style="108" customWidth="1"/>
    <col min="1539" max="1792" width="9" style="108"/>
    <col min="1793" max="1793" width="13.875" style="108" customWidth="1"/>
    <col min="1794" max="1794" width="108.875" style="108" customWidth="1"/>
    <col min="1795" max="2048" width="9" style="108"/>
    <col min="2049" max="2049" width="13.875" style="108" customWidth="1"/>
    <col min="2050" max="2050" width="108.875" style="108" customWidth="1"/>
    <col min="2051" max="2304" width="9" style="108"/>
    <col min="2305" max="2305" width="13.875" style="108" customWidth="1"/>
    <col min="2306" max="2306" width="108.875" style="108" customWidth="1"/>
    <col min="2307" max="2560" width="9" style="108"/>
    <col min="2561" max="2561" width="13.875" style="108" customWidth="1"/>
    <col min="2562" max="2562" width="108.875" style="108" customWidth="1"/>
    <col min="2563" max="2816" width="9" style="108"/>
    <col min="2817" max="2817" width="13.875" style="108" customWidth="1"/>
    <col min="2818" max="2818" width="108.875" style="108" customWidth="1"/>
    <col min="2819" max="3072" width="9" style="108"/>
    <col min="3073" max="3073" width="13.875" style="108" customWidth="1"/>
    <col min="3074" max="3074" width="108.875" style="108" customWidth="1"/>
    <col min="3075" max="3328" width="9" style="108"/>
    <col min="3329" max="3329" width="13.875" style="108" customWidth="1"/>
    <col min="3330" max="3330" width="108.875" style="108" customWidth="1"/>
    <col min="3331" max="3584" width="9" style="108"/>
    <col min="3585" max="3585" width="13.875" style="108" customWidth="1"/>
    <col min="3586" max="3586" width="108.875" style="108" customWidth="1"/>
    <col min="3587" max="3840" width="9" style="108"/>
    <col min="3841" max="3841" width="13.875" style="108" customWidth="1"/>
    <col min="3842" max="3842" width="108.875" style="108" customWidth="1"/>
    <col min="3843" max="4096" width="9" style="108"/>
    <col min="4097" max="4097" width="13.875" style="108" customWidth="1"/>
    <col min="4098" max="4098" width="108.875" style="108" customWidth="1"/>
    <col min="4099" max="4352" width="9" style="108"/>
    <col min="4353" max="4353" width="13.875" style="108" customWidth="1"/>
    <col min="4354" max="4354" width="108.875" style="108" customWidth="1"/>
    <col min="4355" max="4608" width="9" style="108"/>
    <col min="4609" max="4609" width="13.875" style="108" customWidth="1"/>
    <col min="4610" max="4610" width="108.875" style="108" customWidth="1"/>
    <col min="4611" max="4864" width="9" style="108"/>
    <col min="4865" max="4865" width="13.875" style="108" customWidth="1"/>
    <col min="4866" max="4866" width="108.875" style="108" customWidth="1"/>
    <col min="4867" max="5120" width="9" style="108"/>
    <col min="5121" max="5121" width="13.875" style="108" customWidth="1"/>
    <col min="5122" max="5122" width="108.875" style="108" customWidth="1"/>
    <col min="5123" max="5376" width="9" style="108"/>
    <col min="5377" max="5377" width="13.875" style="108" customWidth="1"/>
    <col min="5378" max="5378" width="108.875" style="108" customWidth="1"/>
    <col min="5379" max="5632" width="9" style="108"/>
    <col min="5633" max="5633" width="13.875" style="108" customWidth="1"/>
    <col min="5634" max="5634" width="108.875" style="108" customWidth="1"/>
    <col min="5635" max="5888" width="9" style="108"/>
    <col min="5889" max="5889" width="13.875" style="108" customWidth="1"/>
    <col min="5890" max="5890" width="108.875" style="108" customWidth="1"/>
    <col min="5891" max="6144" width="9" style="108"/>
    <col min="6145" max="6145" width="13.875" style="108" customWidth="1"/>
    <col min="6146" max="6146" width="108.875" style="108" customWidth="1"/>
    <col min="6147" max="6400" width="9" style="108"/>
    <col min="6401" max="6401" width="13.875" style="108" customWidth="1"/>
    <col min="6402" max="6402" width="108.875" style="108" customWidth="1"/>
    <col min="6403" max="6656" width="9" style="108"/>
    <col min="6657" max="6657" width="13.875" style="108" customWidth="1"/>
    <col min="6658" max="6658" width="108.875" style="108" customWidth="1"/>
    <col min="6659" max="6912" width="9" style="108"/>
    <col min="6913" max="6913" width="13.875" style="108" customWidth="1"/>
    <col min="6914" max="6914" width="108.875" style="108" customWidth="1"/>
    <col min="6915" max="7168" width="9" style="108"/>
    <col min="7169" max="7169" width="13.875" style="108" customWidth="1"/>
    <col min="7170" max="7170" width="108.875" style="108" customWidth="1"/>
    <col min="7171" max="7424" width="9" style="108"/>
    <col min="7425" max="7425" width="13.875" style="108" customWidth="1"/>
    <col min="7426" max="7426" width="108.875" style="108" customWidth="1"/>
    <col min="7427" max="7680" width="9" style="108"/>
    <col min="7681" max="7681" width="13.875" style="108" customWidth="1"/>
    <col min="7682" max="7682" width="108.875" style="108" customWidth="1"/>
    <col min="7683" max="7936" width="9" style="108"/>
    <col min="7937" max="7937" width="13.875" style="108" customWidth="1"/>
    <col min="7938" max="7938" width="108.875" style="108" customWidth="1"/>
    <col min="7939" max="8192" width="9" style="108"/>
    <col min="8193" max="8193" width="13.875" style="108" customWidth="1"/>
    <col min="8194" max="8194" width="108.875" style="108" customWidth="1"/>
    <col min="8195" max="8448" width="9" style="108"/>
    <col min="8449" max="8449" width="13.875" style="108" customWidth="1"/>
    <col min="8450" max="8450" width="108.875" style="108" customWidth="1"/>
    <col min="8451" max="8704" width="9" style="108"/>
    <col min="8705" max="8705" width="13.875" style="108" customWidth="1"/>
    <col min="8706" max="8706" width="108.875" style="108" customWidth="1"/>
    <col min="8707" max="8960" width="9" style="108"/>
    <col min="8961" max="8961" width="13.875" style="108" customWidth="1"/>
    <col min="8962" max="8962" width="108.875" style="108" customWidth="1"/>
    <col min="8963" max="9216" width="9" style="108"/>
    <col min="9217" max="9217" width="13.875" style="108" customWidth="1"/>
    <col min="9218" max="9218" width="108.875" style="108" customWidth="1"/>
    <col min="9219" max="9472" width="9" style="108"/>
    <col min="9473" max="9473" width="13.875" style="108" customWidth="1"/>
    <col min="9474" max="9474" width="108.875" style="108" customWidth="1"/>
    <col min="9475" max="9728" width="9" style="108"/>
    <col min="9729" max="9729" width="13.875" style="108" customWidth="1"/>
    <col min="9730" max="9730" width="108.875" style="108" customWidth="1"/>
    <col min="9731" max="9984" width="9" style="108"/>
    <col min="9985" max="9985" width="13.875" style="108" customWidth="1"/>
    <col min="9986" max="9986" width="108.875" style="108" customWidth="1"/>
    <col min="9987" max="10240" width="9" style="108"/>
    <col min="10241" max="10241" width="13.875" style="108" customWidth="1"/>
    <col min="10242" max="10242" width="108.875" style="108" customWidth="1"/>
    <col min="10243" max="10496" width="9" style="108"/>
    <col min="10497" max="10497" width="13.875" style="108" customWidth="1"/>
    <col min="10498" max="10498" width="108.875" style="108" customWidth="1"/>
    <col min="10499" max="10752" width="9" style="108"/>
    <col min="10753" max="10753" width="13.875" style="108" customWidth="1"/>
    <col min="10754" max="10754" width="108.875" style="108" customWidth="1"/>
    <col min="10755" max="11008" width="9" style="108"/>
    <col min="11009" max="11009" width="13.875" style="108" customWidth="1"/>
    <col min="11010" max="11010" width="108.875" style="108" customWidth="1"/>
    <col min="11011" max="11264" width="9" style="108"/>
    <col min="11265" max="11265" width="13.875" style="108" customWidth="1"/>
    <col min="11266" max="11266" width="108.875" style="108" customWidth="1"/>
    <col min="11267" max="11520" width="9" style="108"/>
    <col min="11521" max="11521" width="13.875" style="108" customWidth="1"/>
    <col min="11522" max="11522" width="108.875" style="108" customWidth="1"/>
    <col min="11523" max="11776" width="9" style="108"/>
    <col min="11777" max="11777" width="13.875" style="108" customWidth="1"/>
    <col min="11778" max="11778" width="108.875" style="108" customWidth="1"/>
    <col min="11779" max="12032" width="9" style="108"/>
    <col min="12033" max="12033" width="13.875" style="108" customWidth="1"/>
    <col min="12034" max="12034" width="108.875" style="108" customWidth="1"/>
    <col min="12035" max="12288" width="9" style="108"/>
    <col min="12289" max="12289" width="13.875" style="108" customWidth="1"/>
    <col min="12290" max="12290" width="108.875" style="108" customWidth="1"/>
    <col min="12291" max="12544" width="9" style="108"/>
    <col min="12545" max="12545" width="13.875" style="108" customWidth="1"/>
    <col min="12546" max="12546" width="108.875" style="108" customWidth="1"/>
    <col min="12547" max="12800" width="9" style="108"/>
    <col min="12801" max="12801" width="13.875" style="108" customWidth="1"/>
    <col min="12802" max="12802" width="108.875" style="108" customWidth="1"/>
    <col min="12803" max="13056" width="9" style="108"/>
    <col min="13057" max="13057" width="13.875" style="108" customWidth="1"/>
    <col min="13058" max="13058" width="108.875" style="108" customWidth="1"/>
    <col min="13059" max="13312" width="9" style="108"/>
    <col min="13313" max="13313" width="13.875" style="108" customWidth="1"/>
    <col min="13314" max="13314" width="108.875" style="108" customWidth="1"/>
    <col min="13315" max="13568" width="9" style="108"/>
    <col min="13569" max="13569" width="13.875" style="108" customWidth="1"/>
    <col min="13570" max="13570" width="108.875" style="108" customWidth="1"/>
    <col min="13571" max="13824" width="9" style="108"/>
    <col min="13825" max="13825" width="13.875" style="108" customWidth="1"/>
    <col min="13826" max="13826" width="108.875" style="108" customWidth="1"/>
    <col min="13827" max="14080" width="9" style="108"/>
    <col min="14081" max="14081" width="13.875" style="108" customWidth="1"/>
    <col min="14082" max="14082" width="108.875" style="108" customWidth="1"/>
    <col min="14083" max="14336" width="9" style="108"/>
    <col min="14337" max="14337" width="13.875" style="108" customWidth="1"/>
    <col min="14338" max="14338" width="108.875" style="108" customWidth="1"/>
    <col min="14339" max="14592" width="9" style="108"/>
    <col min="14593" max="14593" width="13.875" style="108" customWidth="1"/>
    <col min="14594" max="14594" width="108.875" style="108" customWidth="1"/>
    <col min="14595" max="14848" width="9" style="108"/>
    <col min="14849" max="14849" width="13.875" style="108" customWidth="1"/>
    <col min="14850" max="14850" width="108.875" style="108" customWidth="1"/>
    <col min="14851" max="15104" width="9" style="108"/>
    <col min="15105" max="15105" width="13.875" style="108" customWidth="1"/>
    <col min="15106" max="15106" width="108.875" style="108" customWidth="1"/>
    <col min="15107" max="15360" width="9" style="108"/>
    <col min="15361" max="15361" width="13.875" style="108" customWidth="1"/>
    <col min="15362" max="15362" width="108.875" style="108" customWidth="1"/>
    <col min="15363" max="15616" width="9" style="108"/>
    <col min="15617" max="15617" width="13.875" style="108" customWidth="1"/>
    <col min="15618" max="15618" width="108.875" style="108" customWidth="1"/>
    <col min="15619" max="15872" width="9" style="108"/>
    <col min="15873" max="15873" width="13.875" style="108" customWidth="1"/>
    <col min="15874" max="15874" width="108.875" style="108" customWidth="1"/>
    <col min="15875" max="16128" width="9" style="108"/>
    <col min="16129" max="16129" width="13.875" style="108" customWidth="1"/>
    <col min="16130" max="16130" width="108.875" style="108" customWidth="1"/>
    <col min="16131" max="16384" width="9" style="108"/>
  </cols>
  <sheetData>
    <row r="1" spans="1:2" ht="18.75" x14ac:dyDescent="0.3">
      <c r="A1" s="326"/>
      <c r="B1" s="326"/>
    </row>
    <row r="2" spans="1:2" ht="21" x14ac:dyDescent="0.25">
      <c r="A2" s="106" t="s">
        <v>481</v>
      </c>
    </row>
    <row r="3" spans="1:2" ht="21" x14ac:dyDescent="0.25">
      <c r="A3" s="109" t="s">
        <v>482</v>
      </c>
    </row>
    <row r="4" spans="1:2" ht="21" x14ac:dyDescent="0.25">
      <c r="A4" s="217"/>
    </row>
    <row r="5" spans="1:2" s="112" customFormat="1" ht="78.75" x14ac:dyDescent="0.2">
      <c r="A5" s="113" t="s">
        <v>466</v>
      </c>
      <c r="B5" s="111" t="s">
        <v>483</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topLeftCell="Q46" workbookViewId="0">
      <selection activeCell="H10" sqref="H10"/>
    </sheetView>
  </sheetViews>
  <sheetFormatPr defaultColWidth="7.875" defaultRowHeight="15.75" x14ac:dyDescent="0.25"/>
  <cols>
    <col min="1" max="1" width="18.75" style="150" customWidth="1"/>
    <col min="2" max="2" width="9.625" style="150" bestFit="1" customWidth="1"/>
    <col min="3" max="3" width="13.625" style="150" customWidth="1"/>
    <col min="4" max="4" width="13.75" style="150" customWidth="1"/>
    <col min="5" max="5" width="9.5" style="150" customWidth="1"/>
    <col min="6" max="6" width="12.375" style="150" customWidth="1"/>
    <col min="7" max="7" width="14.875" style="150" customWidth="1"/>
    <col min="8" max="8" width="14.75" style="150" customWidth="1"/>
    <col min="9" max="9" width="14.25" style="150" customWidth="1"/>
    <col min="10" max="10" width="15.875" style="150" customWidth="1"/>
    <col min="11" max="11" width="15.625" style="150" customWidth="1"/>
    <col min="12" max="12" width="15" style="150" customWidth="1"/>
    <col min="13" max="24" width="16.625" style="150" customWidth="1"/>
    <col min="25" max="25" width="6.125" style="150" customWidth="1"/>
    <col min="26" max="27" width="5.75" style="150" customWidth="1"/>
    <col min="28" max="247" width="7.875" style="150"/>
    <col min="248" max="248" width="18.75" style="150" customWidth="1"/>
    <col min="249" max="249" width="9.625" style="150" bestFit="1" customWidth="1"/>
    <col min="250" max="250" width="13.625" style="150" customWidth="1"/>
    <col min="251" max="251" width="13.75" style="150" customWidth="1"/>
    <col min="252" max="252" width="9.5" style="150" customWidth="1"/>
    <col min="253" max="253" width="12.375" style="150" customWidth="1"/>
    <col min="254" max="254" width="14.875" style="150" customWidth="1"/>
    <col min="255" max="255" width="14.75" style="150" customWidth="1"/>
    <col min="256" max="256" width="14.25" style="150" customWidth="1"/>
    <col min="257" max="257" width="15.875" style="150" customWidth="1"/>
    <col min="258" max="258" width="15.625" style="150" customWidth="1"/>
    <col min="259" max="259" width="15" style="150" customWidth="1"/>
    <col min="260" max="271" width="16.625" style="150" customWidth="1"/>
    <col min="272" max="272" width="6.125" style="150" customWidth="1"/>
    <col min="273" max="279" width="5.75" style="150" customWidth="1"/>
    <col min="280" max="282" width="7.875" style="150" customWidth="1"/>
    <col min="283" max="503" width="7.875" style="150"/>
    <col min="504" max="504" width="18.75" style="150" customWidth="1"/>
    <col min="505" max="505" width="9.625" style="150" bestFit="1" customWidth="1"/>
    <col min="506" max="506" width="13.625" style="150" customWidth="1"/>
    <col min="507" max="507" width="13.75" style="150" customWidth="1"/>
    <col min="508" max="508" width="9.5" style="150" customWidth="1"/>
    <col min="509" max="509" width="12.375" style="150" customWidth="1"/>
    <col min="510" max="510" width="14.875" style="150" customWidth="1"/>
    <col min="511" max="511" width="14.75" style="150" customWidth="1"/>
    <col min="512" max="512" width="14.25" style="150" customWidth="1"/>
    <col min="513" max="513" width="15.875" style="150" customWidth="1"/>
    <col min="514" max="514" width="15.625" style="150" customWidth="1"/>
    <col min="515" max="515" width="15" style="150" customWidth="1"/>
    <col min="516" max="527" width="16.625" style="150" customWidth="1"/>
    <col min="528" max="528" width="6.125" style="150" customWidth="1"/>
    <col min="529" max="535" width="5.75" style="150" customWidth="1"/>
    <col min="536" max="538" width="7.875" style="150" customWidth="1"/>
    <col min="539" max="759" width="7.875" style="150"/>
    <col min="760" max="760" width="18.75" style="150" customWidth="1"/>
    <col min="761" max="761" width="9.625" style="150" bestFit="1" customWidth="1"/>
    <col min="762" max="762" width="13.625" style="150" customWidth="1"/>
    <col min="763" max="763" width="13.75" style="150" customWidth="1"/>
    <col min="764" max="764" width="9.5" style="150" customWidth="1"/>
    <col min="765" max="765" width="12.375" style="150" customWidth="1"/>
    <col min="766" max="766" width="14.875" style="150" customWidth="1"/>
    <col min="767" max="767" width="14.75" style="150" customWidth="1"/>
    <col min="768" max="768" width="14.25" style="150" customWidth="1"/>
    <col min="769" max="769" width="15.875" style="150" customWidth="1"/>
    <col min="770" max="770" width="15.625" style="150" customWidth="1"/>
    <col min="771" max="771" width="15" style="150" customWidth="1"/>
    <col min="772" max="783" width="16.625" style="150" customWidth="1"/>
    <col min="784" max="784" width="6.125" style="150" customWidth="1"/>
    <col min="785" max="791" width="5.75" style="150" customWidth="1"/>
    <col min="792" max="794" width="7.875" style="150" customWidth="1"/>
    <col min="795" max="1015" width="7.875" style="150"/>
    <col min="1016" max="1016" width="18.75" style="150" customWidth="1"/>
    <col min="1017" max="1017" width="9.625" style="150" bestFit="1" customWidth="1"/>
    <col min="1018" max="1018" width="13.625" style="150" customWidth="1"/>
    <col min="1019" max="1019" width="13.75" style="150" customWidth="1"/>
    <col min="1020" max="1020" width="9.5" style="150" customWidth="1"/>
    <col min="1021" max="1021" width="12.375" style="150" customWidth="1"/>
    <col min="1022" max="1022" width="14.875" style="150" customWidth="1"/>
    <col min="1023" max="1023" width="14.75" style="150" customWidth="1"/>
    <col min="1024" max="1024" width="14.25" style="150" customWidth="1"/>
    <col min="1025" max="1025" width="15.875" style="150" customWidth="1"/>
    <col min="1026" max="1026" width="15.625" style="150" customWidth="1"/>
    <col min="1027" max="1027" width="15" style="150" customWidth="1"/>
    <col min="1028" max="1039" width="16.625" style="150" customWidth="1"/>
    <col min="1040" max="1040" width="6.125" style="150" customWidth="1"/>
    <col min="1041" max="1047" width="5.75" style="150" customWidth="1"/>
    <col min="1048" max="1050" width="7.875" style="150" customWidth="1"/>
    <col min="1051" max="1271" width="7.875" style="150"/>
    <col min="1272" max="1272" width="18.75" style="150" customWidth="1"/>
    <col min="1273" max="1273" width="9.625" style="150" bestFit="1" customWidth="1"/>
    <col min="1274" max="1274" width="13.625" style="150" customWidth="1"/>
    <col min="1275" max="1275" width="13.75" style="150" customWidth="1"/>
    <col min="1276" max="1276" width="9.5" style="150" customWidth="1"/>
    <col min="1277" max="1277" width="12.375" style="150" customWidth="1"/>
    <col min="1278" max="1278" width="14.875" style="150" customWidth="1"/>
    <col min="1279" max="1279" width="14.75" style="150" customWidth="1"/>
    <col min="1280" max="1280" width="14.25" style="150" customWidth="1"/>
    <col min="1281" max="1281" width="15.875" style="150" customWidth="1"/>
    <col min="1282" max="1282" width="15.625" style="150" customWidth="1"/>
    <col min="1283" max="1283" width="15" style="150" customWidth="1"/>
    <col min="1284" max="1295" width="16.625" style="150" customWidth="1"/>
    <col min="1296" max="1296" width="6.125" style="150" customWidth="1"/>
    <col min="1297" max="1303" width="5.75" style="150" customWidth="1"/>
    <col min="1304" max="1306" width="7.875" style="150" customWidth="1"/>
    <col min="1307" max="1527" width="7.875" style="150"/>
    <col min="1528" max="1528" width="18.75" style="150" customWidth="1"/>
    <col min="1529" max="1529" width="9.625" style="150" bestFit="1" customWidth="1"/>
    <col min="1530" max="1530" width="13.625" style="150" customWidth="1"/>
    <col min="1531" max="1531" width="13.75" style="150" customWidth="1"/>
    <col min="1532" max="1532" width="9.5" style="150" customWidth="1"/>
    <col min="1533" max="1533" width="12.375" style="150" customWidth="1"/>
    <col min="1534" max="1534" width="14.875" style="150" customWidth="1"/>
    <col min="1535" max="1535" width="14.75" style="150" customWidth="1"/>
    <col min="1536" max="1536" width="14.25" style="150" customWidth="1"/>
    <col min="1537" max="1537" width="15.875" style="150" customWidth="1"/>
    <col min="1538" max="1538" width="15.625" style="150" customWidth="1"/>
    <col min="1539" max="1539" width="15" style="150" customWidth="1"/>
    <col min="1540" max="1551" width="16.625" style="150" customWidth="1"/>
    <col min="1552" max="1552" width="6.125" style="150" customWidth="1"/>
    <col min="1553" max="1559" width="5.75" style="150" customWidth="1"/>
    <col min="1560" max="1562" width="7.875" style="150" customWidth="1"/>
    <col min="1563" max="1783" width="7.875" style="150"/>
    <col min="1784" max="1784" width="18.75" style="150" customWidth="1"/>
    <col min="1785" max="1785" width="9.625" style="150" bestFit="1" customWidth="1"/>
    <col min="1786" max="1786" width="13.625" style="150" customWidth="1"/>
    <col min="1787" max="1787" width="13.75" style="150" customWidth="1"/>
    <col min="1788" max="1788" width="9.5" style="150" customWidth="1"/>
    <col min="1789" max="1789" width="12.375" style="150" customWidth="1"/>
    <col min="1790" max="1790" width="14.875" style="150" customWidth="1"/>
    <col min="1791" max="1791" width="14.75" style="150" customWidth="1"/>
    <col min="1792" max="1792" width="14.25" style="150" customWidth="1"/>
    <col min="1793" max="1793" width="15.875" style="150" customWidth="1"/>
    <col min="1794" max="1794" width="15.625" style="150" customWidth="1"/>
    <col min="1795" max="1795" width="15" style="150" customWidth="1"/>
    <col min="1796" max="1807" width="16.625" style="150" customWidth="1"/>
    <col min="1808" max="1808" width="6.125" style="150" customWidth="1"/>
    <col min="1809" max="1815" width="5.75" style="150" customWidth="1"/>
    <col min="1816" max="1818" width="7.875" style="150" customWidth="1"/>
    <col min="1819" max="2039" width="7.875" style="150"/>
    <col min="2040" max="2040" width="18.75" style="150" customWidth="1"/>
    <col min="2041" max="2041" width="9.625" style="150" bestFit="1" customWidth="1"/>
    <col min="2042" max="2042" width="13.625" style="150" customWidth="1"/>
    <col min="2043" max="2043" width="13.75" style="150" customWidth="1"/>
    <col min="2044" max="2044" width="9.5" style="150" customWidth="1"/>
    <col min="2045" max="2045" width="12.375" style="150" customWidth="1"/>
    <col min="2046" max="2046" width="14.875" style="150" customWidth="1"/>
    <col min="2047" max="2047" width="14.75" style="150" customWidth="1"/>
    <col min="2048" max="2048" width="14.25" style="150" customWidth="1"/>
    <col min="2049" max="2049" width="15.875" style="150" customWidth="1"/>
    <col min="2050" max="2050" width="15.625" style="150" customWidth="1"/>
    <col min="2051" max="2051" width="15" style="150" customWidth="1"/>
    <col min="2052" max="2063" width="16.625" style="150" customWidth="1"/>
    <col min="2064" max="2064" width="6.125" style="150" customWidth="1"/>
    <col min="2065" max="2071" width="5.75" style="150" customWidth="1"/>
    <col min="2072" max="2074" width="7.875" style="150" customWidth="1"/>
    <col min="2075" max="2295" width="7.875" style="150"/>
    <col min="2296" max="2296" width="18.75" style="150" customWidth="1"/>
    <col min="2297" max="2297" width="9.625" style="150" bestFit="1" customWidth="1"/>
    <col min="2298" max="2298" width="13.625" style="150" customWidth="1"/>
    <col min="2299" max="2299" width="13.75" style="150" customWidth="1"/>
    <col min="2300" max="2300" width="9.5" style="150" customWidth="1"/>
    <col min="2301" max="2301" width="12.375" style="150" customWidth="1"/>
    <col min="2302" max="2302" width="14.875" style="150" customWidth="1"/>
    <col min="2303" max="2303" width="14.75" style="150" customWidth="1"/>
    <col min="2304" max="2304" width="14.25" style="150" customWidth="1"/>
    <col min="2305" max="2305" width="15.875" style="150" customWidth="1"/>
    <col min="2306" max="2306" width="15.625" style="150" customWidth="1"/>
    <col min="2307" max="2307" width="15" style="150" customWidth="1"/>
    <col min="2308" max="2319" width="16.625" style="150" customWidth="1"/>
    <col min="2320" max="2320" width="6.125" style="150" customWidth="1"/>
    <col min="2321" max="2327" width="5.75" style="150" customWidth="1"/>
    <col min="2328" max="2330" width="7.875" style="150" customWidth="1"/>
    <col min="2331" max="2551" width="7.875" style="150"/>
    <col min="2552" max="2552" width="18.75" style="150" customWidth="1"/>
    <col min="2553" max="2553" width="9.625" style="150" bestFit="1" customWidth="1"/>
    <col min="2554" max="2554" width="13.625" style="150" customWidth="1"/>
    <col min="2555" max="2555" width="13.75" style="150" customWidth="1"/>
    <col min="2556" max="2556" width="9.5" style="150" customWidth="1"/>
    <col min="2557" max="2557" width="12.375" style="150" customWidth="1"/>
    <col min="2558" max="2558" width="14.875" style="150" customWidth="1"/>
    <col min="2559" max="2559" width="14.75" style="150" customWidth="1"/>
    <col min="2560" max="2560" width="14.25" style="150" customWidth="1"/>
    <col min="2561" max="2561" width="15.875" style="150" customWidth="1"/>
    <col min="2562" max="2562" width="15.625" style="150" customWidth="1"/>
    <col min="2563" max="2563" width="15" style="150" customWidth="1"/>
    <col min="2564" max="2575" width="16.625" style="150" customWidth="1"/>
    <col min="2576" max="2576" width="6.125" style="150" customWidth="1"/>
    <col min="2577" max="2583" width="5.75" style="150" customWidth="1"/>
    <col min="2584" max="2586" width="7.875" style="150" customWidth="1"/>
    <col min="2587" max="2807" width="7.875" style="150"/>
    <col min="2808" max="2808" width="18.75" style="150" customWidth="1"/>
    <col min="2809" max="2809" width="9.625" style="150" bestFit="1" customWidth="1"/>
    <col min="2810" max="2810" width="13.625" style="150" customWidth="1"/>
    <col min="2811" max="2811" width="13.75" style="150" customWidth="1"/>
    <col min="2812" max="2812" width="9.5" style="150" customWidth="1"/>
    <col min="2813" max="2813" width="12.375" style="150" customWidth="1"/>
    <col min="2814" max="2814" width="14.875" style="150" customWidth="1"/>
    <col min="2815" max="2815" width="14.75" style="150" customWidth="1"/>
    <col min="2816" max="2816" width="14.25" style="150" customWidth="1"/>
    <col min="2817" max="2817" width="15.875" style="150" customWidth="1"/>
    <col min="2818" max="2818" width="15.625" style="150" customWidth="1"/>
    <col min="2819" max="2819" width="15" style="150" customWidth="1"/>
    <col min="2820" max="2831" width="16.625" style="150" customWidth="1"/>
    <col min="2832" max="2832" width="6.125" style="150" customWidth="1"/>
    <col min="2833" max="2839" width="5.75" style="150" customWidth="1"/>
    <col min="2840" max="2842" width="7.875" style="150" customWidth="1"/>
    <col min="2843" max="3063" width="7.875" style="150"/>
    <col min="3064" max="3064" width="18.75" style="150" customWidth="1"/>
    <col min="3065" max="3065" width="9.625" style="150" bestFit="1" customWidth="1"/>
    <col min="3066" max="3066" width="13.625" style="150" customWidth="1"/>
    <col min="3067" max="3067" width="13.75" style="150" customWidth="1"/>
    <col min="3068" max="3068" width="9.5" style="150" customWidth="1"/>
    <col min="3069" max="3069" width="12.375" style="150" customWidth="1"/>
    <col min="3070" max="3070" width="14.875" style="150" customWidth="1"/>
    <col min="3071" max="3071" width="14.75" style="150" customWidth="1"/>
    <col min="3072" max="3072" width="14.25" style="150" customWidth="1"/>
    <col min="3073" max="3073" width="15.875" style="150" customWidth="1"/>
    <col min="3074" max="3074" width="15.625" style="150" customWidth="1"/>
    <col min="3075" max="3075" width="15" style="150" customWidth="1"/>
    <col min="3076" max="3087" width="16.625" style="150" customWidth="1"/>
    <col min="3088" max="3088" width="6.125" style="150" customWidth="1"/>
    <col min="3089" max="3095" width="5.75" style="150" customWidth="1"/>
    <col min="3096" max="3098" width="7.875" style="150" customWidth="1"/>
    <col min="3099" max="3319" width="7.875" style="150"/>
    <col min="3320" max="3320" width="18.75" style="150" customWidth="1"/>
    <col min="3321" max="3321" width="9.625" style="150" bestFit="1" customWidth="1"/>
    <col min="3322" max="3322" width="13.625" style="150" customWidth="1"/>
    <col min="3323" max="3323" width="13.75" style="150" customWidth="1"/>
    <col min="3324" max="3324" width="9.5" style="150" customWidth="1"/>
    <col min="3325" max="3325" width="12.375" style="150" customWidth="1"/>
    <col min="3326" max="3326" width="14.875" style="150" customWidth="1"/>
    <col min="3327" max="3327" width="14.75" style="150" customWidth="1"/>
    <col min="3328" max="3328" width="14.25" style="150" customWidth="1"/>
    <col min="3329" max="3329" width="15.875" style="150" customWidth="1"/>
    <col min="3330" max="3330" width="15.625" style="150" customWidth="1"/>
    <col min="3331" max="3331" width="15" style="150" customWidth="1"/>
    <col min="3332" max="3343" width="16.625" style="150" customWidth="1"/>
    <col min="3344" max="3344" width="6.125" style="150" customWidth="1"/>
    <col min="3345" max="3351" width="5.75" style="150" customWidth="1"/>
    <col min="3352" max="3354" width="7.875" style="150" customWidth="1"/>
    <col min="3355" max="3575" width="7.875" style="150"/>
    <col min="3576" max="3576" width="18.75" style="150" customWidth="1"/>
    <col min="3577" max="3577" width="9.625" style="150" bestFit="1" customWidth="1"/>
    <col min="3578" max="3578" width="13.625" style="150" customWidth="1"/>
    <col min="3579" max="3579" width="13.75" style="150" customWidth="1"/>
    <col min="3580" max="3580" width="9.5" style="150" customWidth="1"/>
    <col min="3581" max="3581" width="12.375" style="150" customWidth="1"/>
    <col min="3582" max="3582" width="14.875" style="150" customWidth="1"/>
    <col min="3583" max="3583" width="14.75" style="150" customWidth="1"/>
    <col min="3584" max="3584" width="14.25" style="150" customWidth="1"/>
    <col min="3585" max="3585" width="15.875" style="150" customWidth="1"/>
    <col min="3586" max="3586" width="15.625" style="150" customWidth="1"/>
    <col min="3587" max="3587" width="15" style="150" customWidth="1"/>
    <col min="3588" max="3599" width="16.625" style="150" customWidth="1"/>
    <col min="3600" max="3600" width="6.125" style="150" customWidth="1"/>
    <col min="3601" max="3607" width="5.75" style="150" customWidth="1"/>
    <col min="3608" max="3610" width="7.875" style="150" customWidth="1"/>
    <col min="3611" max="3831" width="7.875" style="150"/>
    <col min="3832" max="3832" width="18.75" style="150" customWidth="1"/>
    <col min="3833" max="3833" width="9.625" style="150" bestFit="1" customWidth="1"/>
    <col min="3834" max="3834" width="13.625" style="150" customWidth="1"/>
    <col min="3835" max="3835" width="13.75" style="150" customWidth="1"/>
    <col min="3836" max="3836" width="9.5" style="150" customWidth="1"/>
    <col min="3837" max="3837" width="12.375" style="150" customWidth="1"/>
    <col min="3838" max="3838" width="14.875" style="150" customWidth="1"/>
    <col min="3839" max="3839" width="14.75" style="150" customWidth="1"/>
    <col min="3840" max="3840" width="14.25" style="150" customWidth="1"/>
    <col min="3841" max="3841" width="15.875" style="150" customWidth="1"/>
    <col min="3842" max="3842" width="15.625" style="150" customWidth="1"/>
    <col min="3843" max="3843" width="15" style="150" customWidth="1"/>
    <col min="3844" max="3855" width="16.625" style="150" customWidth="1"/>
    <col min="3856" max="3856" width="6.125" style="150" customWidth="1"/>
    <col min="3857" max="3863" width="5.75" style="150" customWidth="1"/>
    <col min="3864" max="3866" width="7.875" style="150" customWidth="1"/>
    <col min="3867" max="4087" width="7.875" style="150"/>
    <col min="4088" max="4088" width="18.75" style="150" customWidth="1"/>
    <col min="4089" max="4089" width="9.625" style="150" bestFit="1" customWidth="1"/>
    <col min="4090" max="4090" width="13.625" style="150" customWidth="1"/>
    <col min="4091" max="4091" width="13.75" style="150" customWidth="1"/>
    <col min="4092" max="4092" width="9.5" style="150" customWidth="1"/>
    <col min="4093" max="4093" width="12.375" style="150" customWidth="1"/>
    <col min="4094" max="4094" width="14.875" style="150" customWidth="1"/>
    <col min="4095" max="4095" width="14.75" style="150" customWidth="1"/>
    <col min="4096" max="4096" width="14.25" style="150" customWidth="1"/>
    <col min="4097" max="4097" width="15.875" style="150" customWidth="1"/>
    <col min="4098" max="4098" width="15.625" style="150" customWidth="1"/>
    <col min="4099" max="4099" width="15" style="150" customWidth="1"/>
    <col min="4100" max="4111" width="16.625" style="150" customWidth="1"/>
    <col min="4112" max="4112" width="6.125" style="150" customWidth="1"/>
    <col min="4113" max="4119" width="5.75" style="150" customWidth="1"/>
    <col min="4120" max="4122" width="7.875" style="150" customWidth="1"/>
    <col min="4123" max="4343" width="7.875" style="150"/>
    <col min="4344" max="4344" width="18.75" style="150" customWidth="1"/>
    <col min="4345" max="4345" width="9.625" style="150" bestFit="1" customWidth="1"/>
    <col min="4346" max="4346" width="13.625" style="150" customWidth="1"/>
    <col min="4347" max="4347" width="13.75" style="150" customWidth="1"/>
    <col min="4348" max="4348" width="9.5" style="150" customWidth="1"/>
    <col min="4349" max="4349" width="12.375" style="150" customWidth="1"/>
    <col min="4350" max="4350" width="14.875" style="150" customWidth="1"/>
    <col min="4351" max="4351" width="14.75" style="150" customWidth="1"/>
    <col min="4352" max="4352" width="14.25" style="150" customWidth="1"/>
    <col min="4353" max="4353" width="15.875" style="150" customWidth="1"/>
    <col min="4354" max="4354" width="15.625" style="150" customWidth="1"/>
    <col min="4355" max="4355" width="15" style="150" customWidth="1"/>
    <col min="4356" max="4367" width="16.625" style="150" customWidth="1"/>
    <col min="4368" max="4368" width="6.125" style="150" customWidth="1"/>
    <col min="4369" max="4375" width="5.75" style="150" customWidth="1"/>
    <col min="4376" max="4378" width="7.875" style="150" customWidth="1"/>
    <col min="4379" max="4599" width="7.875" style="150"/>
    <col min="4600" max="4600" width="18.75" style="150" customWidth="1"/>
    <col min="4601" max="4601" width="9.625" style="150" bestFit="1" customWidth="1"/>
    <col min="4602" max="4602" width="13.625" style="150" customWidth="1"/>
    <col min="4603" max="4603" width="13.75" style="150" customWidth="1"/>
    <col min="4604" max="4604" width="9.5" style="150" customWidth="1"/>
    <col min="4605" max="4605" width="12.375" style="150" customWidth="1"/>
    <col min="4606" max="4606" width="14.875" style="150" customWidth="1"/>
    <col min="4607" max="4607" width="14.75" style="150" customWidth="1"/>
    <col min="4608" max="4608" width="14.25" style="150" customWidth="1"/>
    <col min="4609" max="4609" width="15.875" style="150" customWidth="1"/>
    <col min="4610" max="4610" width="15.625" style="150" customWidth="1"/>
    <col min="4611" max="4611" width="15" style="150" customWidth="1"/>
    <col min="4612" max="4623" width="16.625" style="150" customWidth="1"/>
    <col min="4624" max="4624" width="6.125" style="150" customWidth="1"/>
    <col min="4625" max="4631" width="5.75" style="150" customWidth="1"/>
    <col min="4632" max="4634" width="7.875" style="150" customWidth="1"/>
    <col min="4635" max="4855" width="7.875" style="150"/>
    <col min="4856" max="4856" width="18.75" style="150" customWidth="1"/>
    <col min="4857" max="4857" width="9.625" style="150" bestFit="1" customWidth="1"/>
    <col min="4858" max="4858" width="13.625" style="150" customWidth="1"/>
    <col min="4859" max="4859" width="13.75" style="150" customWidth="1"/>
    <col min="4860" max="4860" width="9.5" style="150" customWidth="1"/>
    <col min="4861" max="4861" width="12.375" style="150" customWidth="1"/>
    <col min="4862" max="4862" width="14.875" style="150" customWidth="1"/>
    <col min="4863" max="4863" width="14.75" style="150" customWidth="1"/>
    <col min="4864" max="4864" width="14.25" style="150" customWidth="1"/>
    <col min="4865" max="4865" width="15.875" style="150" customWidth="1"/>
    <col min="4866" max="4866" width="15.625" style="150" customWidth="1"/>
    <col min="4867" max="4867" width="15" style="150" customWidth="1"/>
    <col min="4868" max="4879" width="16.625" style="150" customWidth="1"/>
    <col min="4880" max="4880" width="6.125" style="150" customWidth="1"/>
    <col min="4881" max="4887" width="5.75" style="150" customWidth="1"/>
    <col min="4888" max="4890" width="7.875" style="150" customWidth="1"/>
    <col min="4891" max="5111" width="7.875" style="150"/>
    <col min="5112" max="5112" width="18.75" style="150" customWidth="1"/>
    <col min="5113" max="5113" width="9.625" style="150" bestFit="1" customWidth="1"/>
    <col min="5114" max="5114" width="13.625" style="150" customWidth="1"/>
    <col min="5115" max="5115" width="13.75" style="150" customWidth="1"/>
    <col min="5116" max="5116" width="9.5" style="150" customWidth="1"/>
    <col min="5117" max="5117" width="12.375" style="150" customWidth="1"/>
    <col min="5118" max="5118" width="14.875" style="150" customWidth="1"/>
    <col min="5119" max="5119" width="14.75" style="150" customWidth="1"/>
    <col min="5120" max="5120" width="14.25" style="150" customWidth="1"/>
    <col min="5121" max="5121" width="15.875" style="150" customWidth="1"/>
    <col min="5122" max="5122" width="15.625" style="150" customWidth="1"/>
    <col min="5123" max="5123" width="15" style="150" customWidth="1"/>
    <col min="5124" max="5135" width="16.625" style="150" customWidth="1"/>
    <col min="5136" max="5136" width="6.125" style="150" customWidth="1"/>
    <col min="5137" max="5143" width="5.75" style="150" customWidth="1"/>
    <col min="5144" max="5146" width="7.875" style="150" customWidth="1"/>
    <col min="5147" max="5367" width="7.875" style="150"/>
    <col min="5368" max="5368" width="18.75" style="150" customWidth="1"/>
    <col min="5369" max="5369" width="9.625" style="150" bestFit="1" customWidth="1"/>
    <col min="5370" max="5370" width="13.625" style="150" customWidth="1"/>
    <col min="5371" max="5371" width="13.75" style="150" customWidth="1"/>
    <col min="5372" max="5372" width="9.5" style="150" customWidth="1"/>
    <col min="5373" max="5373" width="12.375" style="150" customWidth="1"/>
    <col min="5374" max="5374" width="14.875" style="150" customWidth="1"/>
    <col min="5375" max="5375" width="14.75" style="150" customWidth="1"/>
    <col min="5376" max="5376" width="14.25" style="150" customWidth="1"/>
    <col min="5377" max="5377" width="15.875" style="150" customWidth="1"/>
    <col min="5378" max="5378" width="15.625" style="150" customWidth="1"/>
    <col min="5379" max="5379" width="15" style="150" customWidth="1"/>
    <col min="5380" max="5391" width="16.625" style="150" customWidth="1"/>
    <col min="5392" max="5392" width="6.125" style="150" customWidth="1"/>
    <col min="5393" max="5399" width="5.75" style="150" customWidth="1"/>
    <col min="5400" max="5402" width="7.875" style="150" customWidth="1"/>
    <col min="5403" max="5623" width="7.875" style="150"/>
    <col min="5624" max="5624" width="18.75" style="150" customWidth="1"/>
    <col min="5625" max="5625" width="9.625" style="150" bestFit="1" customWidth="1"/>
    <col min="5626" max="5626" width="13.625" style="150" customWidth="1"/>
    <col min="5627" max="5627" width="13.75" style="150" customWidth="1"/>
    <col min="5628" max="5628" width="9.5" style="150" customWidth="1"/>
    <col min="5629" max="5629" width="12.375" style="150" customWidth="1"/>
    <col min="5630" max="5630" width="14.875" style="150" customWidth="1"/>
    <col min="5631" max="5631" width="14.75" style="150" customWidth="1"/>
    <col min="5632" max="5632" width="14.25" style="150" customWidth="1"/>
    <col min="5633" max="5633" width="15.875" style="150" customWidth="1"/>
    <col min="5634" max="5634" width="15.625" style="150" customWidth="1"/>
    <col min="5635" max="5635" width="15" style="150" customWidth="1"/>
    <col min="5636" max="5647" width="16.625" style="150" customWidth="1"/>
    <col min="5648" max="5648" width="6.125" style="150" customWidth="1"/>
    <col min="5649" max="5655" width="5.75" style="150" customWidth="1"/>
    <col min="5656" max="5658" width="7.875" style="150" customWidth="1"/>
    <col min="5659" max="5879" width="7.875" style="150"/>
    <col min="5880" max="5880" width="18.75" style="150" customWidth="1"/>
    <col min="5881" max="5881" width="9.625" style="150" bestFit="1" customWidth="1"/>
    <col min="5882" max="5882" width="13.625" style="150" customWidth="1"/>
    <col min="5883" max="5883" width="13.75" style="150" customWidth="1"/>
    <col min="5884" max="5884" width="9.5" style="150" customWidth="1"/>
    <col min="5885" max="5885" width="12.375" style="150" customWidth="1"/>
    <col min="5886" max="5886" width="14.875" style="150" customWidth="1"/>
    <col min="5887" max="5887" width="14.75" style="150" customWidth="1"/>
    <col min="5888" max="5888" width="14.25" style="150" customWidth="1"/>
    <col min="5889" max="5889" width="15.875" style="150" customWidth="1"/>
    <col min="5890" max="5890" width="15.625" style="150" customWidth="1"/>
    <col min="5891" max="5891" width="15" style="150" customWidth="1"/>
    <col min="5892" max="5903" width="16.625" style="150" customWidth="1"/>
    <col min="5904" max="5904" width="6.125" style="150" customWidth="1"/>
    <col min="5905" max="5911" width="5.75" style="150" customWidth="1"/>
    <col min="5912" max="5914" width="7.875" style="150" customWidth="1"/>
    <col min="5915" max="6135" width="7.875" style="150"/>
    <col min="6136" max="6136" width="18.75" style="150" customWidth="1"/>
    <col min="6137" max="6137" width="9.625" style="150" bestFit="1" customWidth="1"/>
    <col min="6138" max="6138" width="13.625" style="150" customWidth="1"/>
    <col min="6139" max="6139" width="13.75" style="150" customWidth="1"/>
    <col min="6140" max="6140" width="9.5" style="150" customWidth="1"/>
    <col min="6141" max="6141" width="12.375" style="150" customWidth="1"/>
    <col min="6142" max="6142" width="14.875" style="150" customWidth="1"/>
    <col min="6143" max="6143" width="14.75" style="150" customWidth="1"/>
    <col min="6144" max="6144" width="14.25" style="150" customWidth="1"/>
    <col min="6145" max="6145" width="15.875" style="150" customWidth="1"/>
    <col min="6146" max="6146" width="15.625" style="150" customWidth="1"/>
    <col min="6147" max="6147" width="15" style="150" customWidth="1"/>
    <col min="6148" max="6159" width="16.625" style="150" customWidth="1"/>
    <col min="6160" max="6160" width="6.125" style="150" customWidth="1"/>
    <col min="6161" max="6167" width="5.75" style="150" customWidth="1"/>
    <col min="6168" max="6170" width="7.875" style="150" customWidth="1"/>
    <col min="6171" max="6391" width="7.875" style="150"/>
    <col min="6392" max="6392" width="18.75" style="150" customWidth="1"/>
    <col min="6393" max="6393" width="9.625" style="150" bestFit="1" customWidth="1"/>
    <col min="6394" max="6394" width="13.625" style="150" customWidth="1"/>
    <col min="6395" max="6395" width="13.75" style="150" customWidth="1"/>
    <col min="6396" max="6396" width="9.5" style="150" customWidth="1"/>
    <col min="6397" max="6397" width="12.375" style="150" customWidth="1"/>
    <col min="6398" max="6398" width="14.875" style="150" customWidth="1"/>
    <col min="6399" max="6399" width="14.75" style="150" customWidth="1"/>
    <col min="6400" max="6400" width="14.25" style="150" customWidth="1"/>
    <col min="6401" max="6401" width="15.875" style="150" customWidth="1"/>
    <col min="6402" max="6402" width="15.625" style="150" customWidth="1"/>
    <col min="6403" max="6403" width="15" style="150" customWidth="1"/>
    <col min="6404" max="6415" width="16.625" style="150" customWidth="1"/>
    <col min="6416" max="6416" width="6.125" style="150" customWidth="1"/>
    <col min="6417" max="6423" width="5.75" style="150" customWidth="1"/>
    <col min="6424" max="6426" width="7.875" style="150" customWidth="1"/>
    <col min="6427" max="6647" width="7.875" style="150"/>
    <col min="6648" max="6648" width="18.75" style="150" customWidth="1"/>
    <col min="6649" max="6649" width="9.625" style="150" bestFit="1" customWidth="1"/>
    <col min="6650" max="6650" width="13.625" style="150" customWidth="1"/>
    <col min="6651" max="6651" width="13.75" style="150" customWidth="1"/>
    <col min="6652" max="6652" width="9.5" style="150" customWidth="1"/>
    <col min="6653" max="6653" width="12.375" style="150" customWidth="1"/>
    <col min="6654" max="6654" width="14.875" style="150" customWidth="1"/>
    <col min="6655" max="6655" width="14.75" style="150" customWidth="1"/>
    <col min="6656" max="6656" width="14.25" style="150" customWidth="1"/>
    <col min="6657" max="6657" width="15.875" style="150" customWidth="1"/>
    <col min="6658" max="6658" width="15.625" style="150" customWidth="1"/>
    <col min="6659" max="6659" width="15" style="150" customWidth="1"/>
    <col min="6660" max="6671" width="16.625" style="150" customWidth="1"/>
    <col min="6672" max="6672" width="6.125" style="150" customWidth="1"/>
    <col min="6673" max="6679" width="5.75" style="150" customWidth="1"/>
    <col min="6680" max="6682" width="7.875" style="150" customWidth="1"/>
    <col min="6683" max="6903" width="7.875" style="150"/>
    <col min="6904" max="6904" width="18.75" style="150" customWidth="1"/>
    <col min="6905" max="6905" width="9.625" style="150" bestFit="1" customWidth="1"/>
    <col min="6906" max="6906" width="13.625" style="150" customWidth="1"/>
    <col min="6907" max="6907" width="13.75" style="150" customWidth="1"/>
    <col min="6908" max="6908" width="9.5" style="150" customWidth="1"/>
    <col min="6909" max="6909" width="12.375" style="150" customWidth="1"/>
    <col min="6910" max="6910" width="14.875" style="150" customWidth="1"/>
    <col min="6911" max="6911" width="14.75" style="150" customWidth="1"/>
    <col min="6912" max="6912" width="14.25" style="150" customWidth="1"/>
    <col min="6913" max="6913" width="15.875" style="150" customWidth="1"/>
    <col min="6914" max="6914" width="15.625" style="150" customWidth="1"/>
    <col min="6915" max="6915" width="15" style="150" customWidth="1"/>
    <col min="6916" max="6927" width="16.625" style="150" customWidth="1"/>
    <col min="6928" max="6928" width="6.125" style="150" customWidth="1"/>
    <col min="6929" max="6935" width="5.75" style="150" customWidth="1"/>
    <col min="6936" max="6938" width="7.875" style="150" customWidth="1"/>
    <col min="6939" max="7159" width="7.875" style="150"/>
    <col min="7160" max="7160" width="18.75" style="150" customWidth="1"/>
    <col min="7161" max="7161" width="9.625" style="150" bestFit="1" customWidth="1"/>
    <col min="7162" max="7162" width="13.625" style="150" customWidth="1"/>
    <col min="7163" max="7163" width="13.75" style="150" customWidth="1"/>
    <col min="7164" max="7164" width="9.5" style="150" customWidth="1"/>
    <col min="7165" max="7165" width="12.375" style="150" customWidth="1"/>
    <col min="7166" max="7166" width="14.875" style="150" customWidth="1"/>
    <col min="7167" max="7167" width="14.75" style="150" customWidth="1"/>
    <col min="7168" max="7168" width="14.25" style="150" customWidth="1"/>
    <col min="7169" max="7169" width="15.875" style="150" customWidth="1"/>
    <col min="7170" max="7170" width="15.625" style="150" customWidth="1"/>
    <col min="7171" max="7171" width="15" style="150" customWidth="1"/>
    <col min="7172" max="7183" width="16.625" style="150" customWidth="1"/>
    <col min="7184" max="7184" width="6.125" style="150" customWidth="1"/>
    <col min="7185" max="7191" width="5.75" style="150" customWidth="1"/>
    <col min="7192" max="7194" width="7.875" style="150" customWidth="1"/>
    <col min="7195" max="7415" width="7.875" style="150"/>
    <col min="7416" max="7416" width="18.75" style="150" customWidth="1"/>
    <col min="7417" max="7417" width="9.625" style="150" bestFit="1" customWidth="1"/>
    <col min="7418" max="7418" width="13.625" style="150" customWidth="1"/>
    <col min="7419" max="7419" width="13.75" style="150" customWidth="1"/>
    <col min="7420" max="7420" width="9.5" style="150" customWidth="1"/>
    <col min="7421" max="7421" width="12.375" style="150" customWidth="1"/>
    <col min="7422" max="7422" width="14.875" style="150" customWidth="1"/>
    <col min="7423" max="7423" width="14.75" style="150" customWidth="1"/>
    <col min="7424" max="7424" width="14.25" style="150" customWidth="1"/>
    <col min="7425" max="7425" width="15.875" style="150" customWidth="1"/>
    <col min="7426" max="7426" width="15.625" style="150" customWidth="1"/>
    <col min="7427" max="7427" width="15" style="150" customWidth="1"/>
    <col min="7428" max="7439" width="16.625" style="150" customWidth="1"/>
    <col min="7440" max="7440" width="6.125" style="150" customWidth="1"/>
    <col min="7441" max="7447" width="5.75" style="150" customWidth="1"/>
    <col min="7448" max="7450" width="7.875" style="150" customWidth="1"/>
    <col min="7451" max="7671" width="7.875" style="150"/>
    <col min="7672" max="7672" width="18.75" style="150" customWidth="1"/>
    <col min="7673" max="7673" width="9.625" style="150" bestFit="1" customWidth="1"/>
    <col min="7674" max="7674" width="13.625" style="150" customWidth="1"/>
    <col min="7675" max="7675" width="13.75" style="150" customWidth="1"/>
    <col min="7676" max="7676" width="9.5" style="150" customWidth="1"/>
    <col min="7677" max="7677" width="12.375" style="150" customWidth="1"/>
    <col min="7678" max="7678" width="14.875" style="150" customWidth="1"/>
    <col min="7679" max="7679" width="14.75" style="150" customWidth="1"/>
    <col min="7680" max="7680" width="14.25" style="150" customWidth="1"/>
    <col min="7681" max="7681" width="15.875" style="150" customWidth="1"/>
    <col min="7682" max="7682" width="15.625" style="150" customWidth="1"/>
    <col min="7683" max="7683" width="15" style="150" customWidth="1"/>
    <col min="7684" max="7695" width="16.625" style="150" customWidth="1"/>
    <col min="7696" max="7696" width="6.125" style="150" customWidth="1"/>
    <col min="7697" max="7703" width="5.75" style="150" customWidth="1"/>
    <col min="7704" max="7706" width="7.875" style="150" customWidth="1"/>
    <col min="7707" max="7927" width="7.875" style="150"/>
    <col min="7928" max="7928" width="18.75" style="150" customWidth="1"/>
    <col min="7929" max="7929" width="9.625" style="150" bestFit="1" customWidth="1"/>
    <col min="7930" max="7930" width="13.625" style="150" customWidth="1"/>
    <col min="7931" max="7931" width="13.75" style="150" customWidth="1"/>
    <col min="7932" max="7932" width="9.5" style="150" customWidth="1"/>
    <col min="7933" max="7933" width="12.375" style="150" customWidth="1"/>
    <col min="7934" max="7934" width="14.875" style="150" customWidth="1"/>
    <col min="7935" max="7935" width="14.75" style="150" customWidth="1"/>
    <col min="7936" max="7936" width="14.25" style="150" customWidth="1"/>
    <col min="7937" max="7937" width="15.875" style="150" customWidth="1"/>
    <col min="7938" max="7938" width="15.625" style="150" customWidth="1"/>
    <col min="7939" max="7939" width="15" style="150" customWidth="1"/>
    <col min="7940" max="7951" width="16.625" style="150" customWidth="1"/>
    <col min="7952" max="7952" width="6.125" style="150" customWidth="1"/>
    <col min="7953" max="7959" width="5.75" style="150" customWidth="1"/>
    <col min="7960" max="7962" width="7.875" style="150" customWidth="1"/>
    <col min="7963" max="8183" width="7.875" style="150"/>
    <col min="8184" max="8184" width="18.75" style="150" customWidth="1"/>
    <col min="8185" max="8185" width="9.625" style="150" bestFit="1" customWidth="1"/>
    <col min="8186" max="8186" width="13.625" style="150" customWidth="1"/>
    <col min="8187" max="8187" width="13.75" style="150" customWidth="1"/>
    <col min="8188" max="8188" width="9.5" style="150" customWidth="1"/>
    <col min="8189" max="8189" width="12.375" style="150" customWidth="1"/>
    <col min="8190" max="8190" width="14.875" style="150" customWidth="1"/>
    <col min="8191" max="8191" width="14.75" style="150" customWidth="1"/>
    <col min="8192" max="8192" width="14.25" style="150" customWidth="1"/>
    <col min="8193" max="8193" width="15.875" style="150" customWidth="1"/>
    <col min="8194" max="8194" width="15.625" style="150" customWidth="1"/>
    <col min="8195" max="8195" width="15" style="150" customWidth="1"/>
    <col min="8196" max="8207" width="16.625" style="150" customWidth="1"/>
    <col min="8208" max="8208" width="6.125" style="150" customWidth="1"/>
    <col min="8209" max="8215" width="5.75" style="150" customWidth="1"/>
    <col min="8216" max="8218" width="7.875" style="150" customWidth="1"/>
    <col min="8219" max="8439" width="7.875" style="150"/>
    <col min="8440" max="8440" width="18.75" style="150" customWidth="1"/>
    <col min="8441" max="8441" width="9.625" style="150" bestFit="1" customWidth="1"/>
    <col min="8442" max="8442" width="13.625" style="150" customWidth="1"/>
    <col min="8443" max="8443" width="13.75" style="150" customWidth="1"/>
    <col min="8444" max="8444" width="9.5" style="150" customWidth="1"/>
    <col min="8445" max="8445" width="12.375" style="150" customWidth="1"/>
    <col min="8446" max="8446" width="14.875" style="150" customWidth="1"/>
    <col min="8447" max="8447" width="14.75" style="150" customWidth="1"/>
    <col min="8448" max="8448" width="14.25" style="150" customWidth="1"/>
    <col min="8449" max="8449" width="15.875" style="150" customWidth="1"/>
    <col min="8450" max="8450" width="15.625" style="150" customWidth="1"/>
    <col min="8451" max="8451" width="15" style="150" customWidth="1"/>
    <col min="8452" max="8463" width="16.625" style="150" customWidth="1"/>
    <col min="8464" max="8464" width="6.125" style="150" customWidth="1"/>
    <col min="8465" max="8471" width="5.75" style="150" customWidth="1"/>
    <col min="8472" max="8474" width="7.875" style="150" customWidth="1"/>
    <col min="8475" max="8695" width="7.875" style="150"/>
    <col min="8696" max="8696" width="18.75" style="150" customWidth="1"/>
    <col min="8697" max="8697" width="9.625" style="150" bestFit="1" customWidth="1"/>
    <col min="8698" max="8698" width="13.625" style="150" customWidth="1"/>
    <col min="8699" max="8699" width="13.75" style="150" customWidth="1"/>
    <col min="8700" max="8700" width="9.5" style="150" customWidth="1"/>
    <col min="8701" max="8701" width="12.375" style="150" customWidth="1"/>
    <col min="8702" max="8702" width="14.875" style="150" customWidth="1"/>
    <col min="8703" max="8703" width="14.75" style="150" customWidth="1"/>
    <col min="8704" max="8704" width="14.25" style="150" customWidth="1"/>
    <col min="8705" max="8705" width="15.875" style="150" customWidth="1"/>
    <col min="8706" max="8706" width="15.625" style="150" customWidth="1"/>
    <col min="8707" max="8707" width="15" style="150" customWidth="1"/>
    <col min="8708" max="8719" width="16.625" style="150" customWidth="1"/>
    <col min="8720" max="8720" width="6.125" style="150" customWidth="1"/>
    <col min="8721" max="8727" width="5.75" style="150" customWidth="1"/>
    <col min="8728" max="8730" width="7.875" style="150" customWidth="1"/>
    <col min="8731" max="8951" width="7.875" style="150"/>
    <col min="8952" max="8952" width="18.75" style="150" customWidth="1"/>
    <col min="8953" max="8953" width="9.625" style="150" bestFit="1" customWidth="1"/>
    <col min="8954" max="8954" width="13.625" style="150" customWidth="1"/>
    <col min="8955" max="8955" width="13.75" style="150" customWidth="1"/>
    <col min="8956" max="8956" width="9.5" style="150" customWidth="1"/>
    <col min="8957" max="8957" width="12.375" style="150" customWidth="1"/>
    <col min="8958" max="8958" width="14.875" style="150" customWidth="1"/>
    <col min="8959" max="8959" width="14.75" style="150" customWidth="1"/>
    <col min="8960" max="8960" width="14.25" style="150" customWidth="1"/>
    <col min="8961" max="8961" width="15.875" style="150" customWidth="1"/>
    <col min="8962" max="8962" width="15.625" style="150" customWidth="1"/>
    <col min="8963" max="8963" width="15" style="150" customWidth="1"/>
    <col min="8964" max="8975" width="16.625" style="150" customWidth="1"/>
    <col min="8976" max="8976" width="6.125" style="150" customWidth="1"/>
    <col min="8977" max="8983" width="5.75" style="150" customWidth="1"/>
    <col min="8984" max="8986" width="7.875" style="150" customWidth="1"/>
    <col min="8987" max="9207" width="7.875" style="150"/>
    <col min="9208" max="9208" width="18.75" style="150" customWidth="1"/>
    <col min="9209" max="9209" width="9.625" style="150" bestFit="1" customWidth="1"/>
    <col min="9210" max="9210" width="13.625" style="150" customWidth="1"/>
    <col min="9211" max="9211" width="13.75" style="150" customWidth="1"/>
    <col min="9212" max="9212" width="9.5" style="150" customWidth="1"/>
    <col min="9213" max="9213" width="12.375" style="150" customWidth="1"/>
    <col min="9214" max="9214" width="14.875" style="150" customWidth="1"/>
    <col min="9215" max="9215" width="14.75" style="150" customWidth="1"/>
    <col min="9216" max="9216" width="14.25" style="150" customWidth="1"/>
    <col min="9217" max="9217" width="15.875" style="150" customWidth="1"/>
    <col min="9218" max="9218" width="15.625" style="150" customWidth="1"/>
    <col min="9219" max="9219" width="15" style="150" customWidth="1"/>
    <col min="9220" max="9231" width="16.625" style="150" customWidth="1"/>
    <col min="9232" max="9232" width="6.125" style="150" customWidth="1"/>
    <col min="9233" max="9239" width="5.75" style="150" customWidth="1"/>
    <col min="9240" max="9242" width="7.875" style="150" customWidth="1"/>
    <col min="9243" max="9463" width="7.875" style="150"/>
    <col min="9464" max="9464" width="18.75" style="150" customWidth="1"/>
    <col min="9465" max="9465" width="9.625" style="150" bestFit="1" customWidth="1"/>
    <col min="9466" max="9466" width="13.625" style="150" customWidth="1"/>
    <col min="9467" max="9467" width="13.75" style="150" customWidth="1"/>
    <col min="9468" max="9468" width="9.5" style="150" customWidth="1"/>
    <col min="9469" max="9469" width="12.375" style="150" customWidth="1"/>
    <col min="9470" max="9470" width="14.875" style="150" customWidth="1"/>
    <col min="9471" max="9471" width="14.75" style="150" customWidth="1"/>
    <col min="9472" max="9472" width="14.25" style="150" customWidth="1"/>
    <col min="9473" max="9473" width="15.875" style="150" customWidth="1"/>
    <col min="9474" max="9474" width="15.625" style="150" customWidth="1"/>
    <col min="9475" max="9475" width="15" style="150" customWidth="1"/>
    <col min="9476" max="9487" width="16.625" style="150" customWidth="1"/>
    <col min="9488" max="9488" width="6.125" style="150" customWidth="1"/>
    <col min="9489" max="9495" width="5.75" style="150" customWidth="1"/>
    <col min="9496" max="9498" width="7.875" style="150" customWidth="1"/>
    <col min="9499" max="9719" width="7.875" style="150"/>
    <col min="9720" max="9720" width="18.75" style="150" customWidth="1"/>
    <col min="9721" max="9721" width="9.625" style="150" bestFit="1" customWidth="1"/>
    <col min="9722" max="9722" width="13.625" style="150" customWidth="1"/>
    <col min="9723" max="9723" width="13.75" style="150" customWidth="1"/>
    <col min="9724" max="9724" width="9.5" style="150" customWidth="1"/>
    <col min="9725" max="9725" width="12.375" style="150" customWidth="1"/>
    <col min="9726" max="9726" width="14.875" style="150" customWidth="1"/>
    <col min="9727" max="9727" width="14.75" style="150" customWidth="1"/>
    <col min="9728" max="9728" width="14.25" style="150" customWidth="1"/>
    <col min="9729" max="9729" width="15.875" style="150" customWidth="1"/>
    <col min="9730" max="9730" width="15.625" style="150" customWidth="1"/>
    <col min="9731" max="9731" width="15" style="150" customWidth="1"/>
    <col min="9732" max="9743" width="16.625" style="150" customWidth="1"/>
    <col min="9744" max="9744" width="6.125" style="150" customWidth="1"/>
    <col min="9745" max="9751" width="5.75" style="150" customWidth="1"/>
    <col min="9752" max="9754" width="7.875" style="150" customWidth="1"/>
    <col min="9755" max="9975" width="7.875" style="150"/>
    <col min="9976" max="9976" width="18.75" style="150" customWidth="1"/>
    <col min="9977" max="9977" width="9.625" style="150" bestFit="1" customWidth="1"/>
    <col min="9978" max="9978" width="13.625" style="150" customWidth="1"/>
    <col min="9979" max="9979" width="13.75" style="150" customWidth="1"/>
    <col min="9980" max="9980" width="9.5" style="150" customWidth="1"/>
    <col min="9981" max="9981" width="12.375" style="150" customWidth="1"/>
    <col min="9982" max="9982" width="14.875" style="150" customWidth="1"/>
    <col min="9983" max="9983" width="14.75" style="150" customWidth="1"/>
    <col min="9984" max="9984" width="14.25" style="150" customWidth="1"/>
    <col min="9985" max="9985" width="15.875" style="150" customWidth="1"/>
    <col min="9986" max="9986" width="15.625" style="150" customWidth="1"/>
    <col min="9987" max="9987" width="15" style="150" customWidth="1"/>
    <col min="9988" max="9999" width="16.625" style="150" customWidth="1"/>
    <col min="10000" max="10000" width="6.125" style="150" customWidth="1"/>
    <col min="10001" max="10007" width="5.75" style="150" customWidth="1"/>
    <col min="10008" max="10010" width="7.875" style="150" customWidth="1"/>
    <col min="10011" max="10231" width="7.875" style="150"/>
    <col min="10232" max="10232" width="18.75" style="150" customWidth="1"/>
    <col min="10233" max="10233" width="9.625" style="150" bestFit="1" customWidth="1"/>
    <col min="10234" max="10234" width="13.625" style="150" customWidth="1"/>
    <col min="10235" max="10235" width="13.75" style="150" customWidth="1"/>
    <col min="10236" max="10236" width="9.5" style="150" customWidth="1"/>
    <col min="10237" max="10237" width="12.375" style="150" customWidth="1"/>
    <col min="10238" max="10238" width="14.875" style="150" customWidth="1"/>
    <col min="10239" max="10239" width="14.75" style="150" customWidth="1"/>
    <col min="10240" max="10240" width="14.25" style="150" customWidth="1"/>
    <col min="10241" max="10241" width="15.875" style="150" customWidth="1"/>
    <col min="10242" max="10242" width="15.625" style="150" customWidth="1"/>
    <col min="10243" max="10243" width="15" style="150" customWidth="1"/>
    <col min="10244" max="10255" width="16.625" style="150" customWidth="1"/>
    <col min="10256" max="10256" width="6.125" style="150" customWidth="1"/>
    <col min="10257" max="10263" width="5.75" style="150" customWidth="1"/>
    <col min="10264" max="10266" width="7.875" style="150" customWidth="1"/>
    <col min="10267" max="10487" width="7.875" style="150"/>
    <col min="10488" max="10488" width="18.75" style="150" customWidth="1"/>
    <col min="10489" max="10489" width="9.625" style="150" bestFit="1" customWidth="1"/>
    <col min="10490" max="10490" width="13.625" style="150" customWidth="1"/>
    <col min="10491" max="10491" width="13.75" style="150" customWidth="1"/>
    <col min="10492" max="10492" width="9.5" style="150" customWidth="1"/>
    <col min="10493" max="10493" width="12.375" style="150" customWidth="1"/>
    <col min="10494" max="10494" width="14.875" style="150" customWidth="1"/>
    <col min="10495" max="10495" width="14.75" style="150" customWidth="1"/>
    <col min="10496" max="10496" width="14.25" style="150" customWidth="1"/>
    <col min="10497" max="10497" width="15.875" style="150" customWidth="1"/>
    <col min="10498" max="10498" width="15.625" style="150" customWidth="1"/>
    <col min="10499" max="10499" width="15" style="150" customWidth="1"/>
    <col min="10500" max="10511" width="16.625" style="150" customWidth="1"/>
    <col min="10512" max="10512" width="6.125" style="150" customWidth="1"/>
    <col min="10513" max="10519" width="5.75" style="150" customWidth="1"/>
    <col min="10520" max="10522" width="7.875" style="150" customWidth="1"/>
    <col min="10523" max="10743" width="7.875" style="150"/>
    <col min="10744" max="10744" width="18.75" style="150" customWidth="1"/>
    <col min="10745" max="10745" width="9.625" style="150" bestFit="1" customWidth="1"/>
    <col min="10746" max="10746" width="13.625" style="150" customWidth="1"/>
    <col min="10747" max="10747" width="13.75" style="150" customWidth="1"/>
    <col min="10748" max="10748" width="9.5" style="150" customWidth="1"/>
    <col min="10749" max="10749" width="12.375" style="150" customWidth="1"/>
    <col min="10750" max="10750" width="14.875" style="150" customWidth="1"/>
    <col min="10751" max="10751" width="14.75" style="150" customWidth="1"/>
    <col min="10752" max="10752" width="14.25" style="150" customWidth="1"/>
    <col min="10753" max="10753" width="15.875" style="150" customWidth="1"/>
    <col min="10754" max="10754" width="15.625" style="150" customWidth="1"/>
    <col min="10755" max="10755" width="15" style="150" customWidth="1"/>
    <col min="10756" max="10767" width="16.625" style="150" customWidth="1"/>
    <col min="10768" max="10768" width="6.125" style="150" customWidth="1"/>
    <col min="10769" max="10775" width="5.75" style="150" customWidth="1"/>
    <col min="10776" max="10778" width="7.875" style="150" customWidth="1"/>
    <col min="10779" max="10999" width="7.875" style="150"/>
    <col min="11000" max="11000" width="18.75" style="150" customWidth="1"/>
    <col min="11001" max="11001" width="9.625" style="150" bestFit="1" customWidth="1"/>
    <col min="11002" max="11002" width="13.625" style="150" customWidth="1"/>
    <col min="11003" max="11003" width="13.75" style="150" customWidth="1"/>
    <col min="11004" max="11004" width="9.5" style="150" customWidth="1"/>
    <col min="11005" max="11005" width="12.375" style="150" customWidth="1"/>
    <col min="11006" max="11006" width="14.875" style="150" customWidth="1"/>
    <col min="11007" max="11007" width="14.75" style="150" customWidth="1"/>
    <col min="11008" max="11008" width="14.25" style="150" customWidth="1"/>
    <col min="11009" max="11009" width="15.875" style="150" customWidth="1"/>
    <col min="11010" max="11010" width="15.625" style="150" customWidth="1"/>
    <col min="11011" max="11011" width="15" style="150" customWidth="1"/>
    <col min="11012" max="11023" width="16.625" style="150" customWidth="1"/>
    <col min="11024" max="11024" width="6.125" style="150" customWidth="1"/>
    <col min="11025" max="11031" width="5.75" style="150" customWidth="1"/>
    <col min="11032" max="11034" width="7.875" style="150" customWidth="1"/>
    <col min="11035" max="11255" width="7.875" style="150"/>
    <col min="11256" max="11256" width="18.75" style="150" customWidth="1"/>
    <col min="11257" max="11257" width="9.625" style="150" bestFit="1" customWidth="1"/>
    <col min="11258" max="11258" width="13.625" style="150" customWidth="1"/>
    <col min="11259" max="11259" width="13.75" style="150" customWidth="1"/>
    <col min="11260" max="11260" width="9.5" style="150" customWidth="1"/>
    <col min="11261" max="11261" width="12.375" style="150" customWidth="1"/>
    <col min="11262" max="11262" width="14.875" style="150" customWidth="1"/>
    <col min="11263" max="11263" width="14.75" style="150" customWidth="1"/>
    <col min="11264" max="11264" width="14.25" style="150" customWidth="1"/>
    <col min="11265" max="11265" width="15.875" style="150" customWidth="1"/>
    <col min="11266" max="11266" width="15.625" style="150" customWidth="1"/>
    <col min="11267" max="11267" width="15" style="150" customWidth="1"/>
    <col min="11268" max="11279" width="16.625" style="150" customWidth="1"/>
    <col min="11280" max="11280" width="6.125" style="150" customWidth="1"/>
    <col min="11281" max="11287" width="5.75" style="150" customWidth="1"/>
    <col min="11288" max="11290" width="7.875" style="150" customWidth="1"/>
    <col min="11291" max="11511" width="7.875" style="150"/>
    <col min="11512" max="11512" width="18.75" style="150" customWidth="1"/>
    <col min="11513" max="11513" width="9.625" style="150" bestFit="1" customWidth="1"/>
    <col min="11514" max="11514" width="13.625" style="150" customWidth="1"/>
    <col min="11515" max="11515" width="13.75" style="150" customWidth="1"/>
    <col min="11516" max="11516" width="9.5" style="150" customWidth="1"/>
    <col min="11517" max="11517" width="12.375" style="150" customWidth="1"/>
    <col min="11518" max="11518" width="14.875" style="150" customWidth="1"/>
    <col min="11519" max="11519" width="14.75" style="150" customWidth="1"/>
    <col min="11520" max="11520" width="14.25" style="150" customWidth="1"/>
    <col min="11521" max="11521" width="15.875" style="150" customWidth="1"/>
    <col min="11522" max="11522" width="15.625" style="150" customWidth="1"/>
    <col min="11523" max="11523" width="15" style="150" customWidth="1"/>
    <col min="11524" max="11535" width="16.625" style="150" customWidth="1"/>
    <col min="11536" max="11536" width="6.125" style="150" customWidth="1"/>
    <col min="11537" max="11543" width="5.75" style="150" customWidth="1"/>
    <col min="11544" max="11546" width="7.875" style="150" customWidth="1"/>
    <col min="11547" max="11767" width="7.875" style="150"/>
    <col min="11768" max="11768" width="18.75" style="150" customWidth="1"/>
    <col min="11769" max="11769" width="9.625" style="150" bestFit="1" customWidth="1"/>
    <col min="11770" max="11770" width="13.625" style="150" customWidth="1"/>
    <col min="11771" max="11771" width="13.75" style="150" customWidth="1"/>
    <col min="11772" max="11772" width="9.5" style="150" customWidth="1"/>
    <col min="11773" max="11773" width="12.375" style="150" customWidth="1"/>
    <col min="11774" max="11774" width="14.875" style="150" customWidth="1"/>
    <col min="11775" max="11775" width="14.75" style="150" customWidth="1"/>
    <col min="11776" max="11776" width="14.25" style="150" customWidth="1"/>
    <col min="11777" max="11777" width="15.875" style="150" customWidth="1"/>
    <col min="11778" max="11778" width="15.625" style="150" customWidth="1"/>
    <col min="11779" max="11779" width="15" style="150" customWidth="1"/>
    <col min="11780" max="11791" width="16.625" style="150" customWidth="1"/>
    <col min="11792" max="11792" width="6.125" style="150" customWidth="1"/>
    <col min="11793" max="11799" width="5.75" style="150" customWidth="1"/>
    <col min="11800" max="11802" width="7.875" style="150" customWidth="1"/>
    <col min="11803" max="12023" width="7.875" style="150"/>
    <col min="12024" max="12024" width="18.75" style="150" customWidth="1"/>
    <col min="12025" max="12025" width="9.625" style="150" bestFit="1" customWidth="1"/>
    <col min="12026" max="12026" width="13.625" style="150" customWidth="1"/>
    <col min="12027" max="12027" width="13.75" style="150" customWidth="1"/>
    <col min="12028" max="12028" width="9.5" style="150" customWidth="1"/>
    <col min="12029" max="12029" width="12.375" style="150" customWidth="1"/>
    <col min="12030" max="12030" width="14.875" style="150" customWidth="1"/>
    <col min="12031" max="12031" width="14.75" style="150" customWidth="1"/>
    <col min="12032" max="12032" width="14.25" style="150" customWidth="1"/>
    <col min="12033" max="12033" width="15.875" style="150" customWidth="1"/>
    <col min="12034" max="12034" width="15.625" style="150" customWidth="1"/>
    <col min="12035" max="12035" width="15" style="150" customWidth="1"/>
    <col min="12036" max="12047" width="16.625" style="150" customWidth="1"/>
    <col min="12048" max="12048" width="6.125" style="150" customWidth="1"/>
    <col min="12049" max="12055" width="5.75" style="150" customWidth="1"/>
    <col min="12056" max="12058" width="7.875" style="150" customWidth="1"/>
    <col min="12059" max="12279" width="7.875" style="150"/>
    <col min="12280" max="12280" width="18.75" style="150" customWidth="1"/>
    <col min="12281" max="12281" width="9.625" style="150" bestFit="1" customWidth="1"/>
    <col min="12282" max="12282" width="13.625" style="150" customWidth="1"/>
    <col min="12283" max="12283" width="13.75" style="150" customWidth="1"/>
    <col min="12284" max="12284" width="9.5" style="150" customWidth="1"/>
    <col min="12285" max="12285" width="12.375" style="150" customWidth="1"/>
    <col min="12286" max="12286" width="14.875" style="150" customWidth="1"/>
    <col min="12287" max="12287" width="14.75" style="150" customWidth="1"/>
    <col min="12288" max="12288" width="14.25" style="150" customWidth="1"/>
    <col min="12289" max="12289" width="15.875" style="150" customWidth="1"/>
    <col min="12290" max="12290" width="15.625" style="150" customWidth="1"/>
    <col min="12291" max="12291" width="15" style="150" customWidth="1"/>
    <col min="12292" max="12303" width="16.625" style="150" customWidth="1"/>
    <col min="12304" max="12304" width="6.125" style="150" customWidth="1"/>
    <col min="12305" max="12311" width="5.75" style="150" customWidth="1"/>
    <col min="12312" max="12314" width="7.875" style="150" customWidth="1"/>
    <col min="12315" max="12535" width="7.875" style="150"/>
    <col min="12536" max="12536" width="18.75" style="150" customWidth="1"/>
    <col min="12537" max="12537" width="9.625" style="150" bestFit="1" customWidth="1"/>
    <col min="12538" max="12538" width="13.625" style="150" customWidth="1"/>
    <col min="12539" max="12539" width="13.75" style="150" customWidth="1"/>
    <col min="12540" max="12540" width="9.5" style="150" customWidth="1"/>
    <col min="12541" max="12541" width="12.375" style="150" customWidth="1"/>
    <col min="12542" max="12542" width="14.875" style="150" customWidth="1"/>
    <col min="12543" max="12543" width="14.75" style="150" customWidth="1"/>
    <col min="12544" max="12544" width="14.25" style="150" customWidth="1"/>
    <col min="12545" max="12545" width="15.875" style="150" customWidth="1"/>
    <col min="12546" max="12546" width="15.625" style="150" customWidth="1"/>
    <col min="12547" max="12547" width="15" style="150" customWidth="1"/>
    <col min="12548" max="12559" width="16.625" style="150" customWidth="1"/>
    <col min="12560" max="12560" width="6.125" style="150" customWidth="1"/>
    <col min="12561" max="12567" width="5.75" style="150" customWidth="1"/>
    <col min="12568" max="12570" width="7.875" style="150" customWidth="1"/>
    <col min="12571" max="12791" width="7.875" style="150"/>
    <col min="12792" max="12792" width="18.75" style="150" customWidth="1"/>
    <col min="12793" max="12793" width="9.625" style="150" bestFit="1" customWidth="1"/>
    <col min="12794" max="12794" width="13.625" style="150" customWidth="1"/>
    <col min="12795" max="12795" width="13.75" style="150" customWidth="1"/>
    <col min="12796" max="12796" width="9.5" style="150" customWidth="1"/>
    <col min="12797" max="12797" width="12.375" style="150" customWidth="1"/>
    <col min="12798" max="12798" width="14.875" style="150" customWidth="1"/>
    <col min="12799" max="12799" width="14.75" style="150" customWidth="1"/>
    <col min="12800" max="12800" width="14.25" style="150" customWidth="1"/>
    <col min="12801" max="12801" width="15.875" style="150" customWidth="1"/>
    <col min="12802" max="12802" width="15.625" style="150" customWidth="1"/>
    <col min="12803" max="12803" width="15" style="150" customWidth="1"/>
    <col min="12804" max="12815" width="16.625" style="150" customWidth="1"/>
    <col min="12816" max="12816" width="6.125" style="150" customWidth="1"/>
    <col min="12817" max="12823" width="5.75" style="150" customWidth="1"/>
    <col min="12824" max="12826" width="7.875" style="150" customWidth="1"/>
    <col min="12827" max="13047" width="7.875" style="150"/>
    <col min="13048" max="13048" width="18.75" style="150" customWidth="1"/>
    <col min="13049" max="13049" width="9.625" style="150" bestFit="1" customWidth="1"/>
    <col min="13050" max="13050" width="13.625" style="150" customWidth="1"/>
    <col min="13051" max="13051" width="13.75" style="150" customWidth="1"/>
    <col min="13052" max="13052" width="9.5" style="150" customWidth="1"/>
    <col min="13053" max="13053" width="12.375" style="150" customWidth="1"/>
    <col min="13054" max="13054" width="14.875" style="150" customWidth="1"/>
    <col min="13055" max="13055" width="14.75" style="150" customWidth="1"/>
    <col min="13056" max="13056" width="14.25" style="150" customWidth="1"/>
    <col min="13057" max="13057" width="15.875" style="150" customWidth="1"/>
    <col min="13058" max="13058" width="15.625" style="150" customWidth="1"/>
    <col min="13059" max="13059" width="15" style="150" customWidth="1"/>
    <col min="13060" max="13071" width="16.625" style="150" customWidth="1"/>
    <col min="13072" max="13072" width="6.125" style="150" customWidth="1"/>
    <col min="13073" max="13079" width="5.75" style="150" customWidth="1"/>
    <col min="13080" max="13082" width="7.875" style="150" customWidth="1"/>
    <col min="13083" max="13303" width="7.875" style="150"/>
    <col min="13304" max="13304" width="18.75" style="150" customWidth="1"/>
    <col min="13305" max="13305" width="9.625" style="150" bestFit="1" customWidth="1"/>
    <col min="13306" max="13306" width="13.625" style="150" customWidth="1"/>
    <col min="13307" max="13307" width="13.75" style="150" customWidth="1"/>
    <col min="13308" max="13308" width="9.5" style="150" customWidth="1"/>
    <col min="13309" max="13309" width="12.375" style="150" customWidth="1"/>
    <col min="13310" max="13310" width="14.875" style="150" customWidth="1"/>
    <col min="13311" max="13311" width="14.75" style="150" customWidth="1"/>
    <col min="13312" max="13312" width="14.25" style="150" customWidth="1"/>
    <col min="13313" max="13313" width="15.875" style="150" customWidth="1"/>
    <col min="13314" max="13314" width="15.625" style="150" customWidth="1"/>
    <col min="13315" max="13315" width="15" style="150" customWidth="1"/>
    <col min="13316" max="13327" width="16.625" style="150" customWidth="1"/>
    <col min="13328" max="13328" width="6.125" style="150" customWidth="1"/>
    <col min="13329" max="13335" width="5.75" style="150" customWidth="1"/>
    <col min="13336" max="13338" width="7.875" style="150" customWidth="1"/>
    <col min="13339" max="13559" width="7.875" style="150"/>
    <col min="13560" max="13560" width="18.75" style="150" customWidth="1"/>
    <col min="13561" max="13561" width="9.625" style="150" bestFit="1" customWidth="1"/>
    <col min="13562" max="13562" width="13.625" style="150" customWidth="1"/>
    <col min="13563" max="13563" width="13.75" style="150" customWidth="1"/>
    <col min="13564" max="13564" width="9.5" style="150" customWidth="1"/>
    <col min="13565" max="13565" width="12.375" style="150" customWidth="1"/>
    <col min="13566" max="13566" width="14.875" style="150" customWidth="1"/>
    <col min="13567" max="13567" width="14.75" style="150" customWidth="1"/>
    <col min="13568" max="13568" width="14.25" style="150" customWidth="1"/>
    <col min="13569" max="13569" width="15.875" style="150" customWidth="1"/>
    <col min="13570" max="13570" width="15.625" style="150" customWidth="1"/>
    <col min="13571" max="13571" width="15" style="150" customWidth="1"/>
    <col min="13572" max="13583" width="16.625" style="150" customWidth="1"/>
    <col min="13584" max="13584" width="6.125" style="150" customWidth="1"/>
    <col min="13585" max="13591" width="5.75" style="150" customWidth="1"/>
    <col min="13592" max="13594" width="7.875" style="150" customWidth="1"/>
    <col min="13595" max="13815" width="7.875" style="150"/>
    <col min="13816" max="13816" width="18.75" style="150" customWidth="1"/>
    <col min="13817" max="13817" width="9.625" style="150" bestFit="1" customWidth="1"/>
    <col min="13818" max="13818" width="13.625" style="150" customWidth="1"/>
    <col min="13819" max="13819" width="13.75" style="150" customWidth="1"/>
    <col min="13820" max="13820" width="9.5" style="150" customWidth="1"/>
    <col min="13821" max="13821" width="12.375" style="150" customWidth="1"/>
    <col min="13822" max="13822" width="14.875" style="150" customWidth="1"/>
    <col min="13823" max="13823" width="14.75" style="150" customWidth="1"/>
    <col min="13824" max="13824" width="14.25" style="150" customWidth="1"/>
    <col min="13825" max="13825" width="15.875" style="150" customWidth="1"/>
    <col min="13826" max="13826" width="15.625" style="150" customWidth="1"/>
    <col min="13827" max="13827" width="15" style="150" customWidth="1"/>
    <col min="13828" max="13839" width="16.625" style="150" customWidth="1"/>
    <col min="13840" max="13840" width="6.125" style="150" customWidth="1"/>
    <col min="13841" max="13847" width="5.75" style="150" customWidth="1"/>
    <col min="13848" max="13850" width="7.875" style="150" customWidth="1"/>
    <col min="13851" max="14071" width="7.875" style="150"/>
    <col min="14072" max="14072" width="18.75" style="150" customWidth="1"/>
    <col min="14073" max="14073" width="9.625" style="150" bestFit="1" customWidth="1"/>
    <col min="14074" max="14074" width="13.625" style="150" customWidth="1"/>
    <col min="14075" max="14075" width="13.75" style="150" customWidth="1"/>
    <col min="14076" max="14076" width="9.5" style="150" customWidth="1"/>
    <col min="14077" max="14077" width="12.375" style="150" customWidth="1"/>
    <col min="14078" max="14078" width="14.875" style="150" customWidth="1"/>
    <col min="14079" max="14079" width="14.75" style="150" customWidth="1"/>
    <col min="14080" max="14080" width="14.25" style="150" customWidth="1"/>
    <col min="14081" max="14081" width="15.875" style="150" customWidth="1"/>
    <col min="14082" max="14082" width="15.625" style="150" customWidth="1"/>
    <col min="14083" max="14083" width="15" style="150" customWidth="1"/>
    <col min="14084" max="14095" width="16.625" style="150" customWidth="1"/>
    <col min="14096" max="14096" width="6.125" style="150" customWidth="1"/>
    <col min="14097" max="14103" width="5.75" style="150" customWidth="1"/>
    <col min="14104" max="14106" width="7.875" style="150" customWidth="1"/>
    <col min="14107" max="14327" width="7.875" style="150"/>
    <col min="14328" max="14328" width="18.75" style="150" customWidth="1"/>
    <col min="14329" max="14329" width="9.625" style="150" bestFit="1" customWidth="1"/>
    <col min="14330" max="14330" width="13.625" style="150" customWidth="1"/>
    <col min="14331" max="14331" width="13.75" style="150" customWidth="1"/>
    <col min="14332" max="14332" width="9.5" style="150" customWidth="1"/>
    <col min="14333" max="14333" width="12.375" style="150" customWidth="1"/>
    <col min="14334" max="14334" width="14.875" style="150" customWidth="1"/>
    <col min="14335" max="14335" width="14.75" style="150" customWidth="1"/>
    <col min="14336" max="14336" width="14.25" style="150" customWidth="1"/>
    <col min="14337" max="14337" width="15.875" style="150" customWidth="1"/>
    <col min="14338" max="14338" width="15.625" style="150" customWidth="1"/>
    <col min="14339" max="14339" width="15" style="150" customWidth="1"/>
    <col min="14340" max="14351" width="16.625" style="150" customWidth="1"/>
    <col min="14352" max="14352" width="6.125" style="150" customWidth="1"/>
    <col min="14353" max="14359" width="5.75" style="150" customWidth="1"/>
    <col min="14360" max="14362" width="7.875" style="150" customWidth="1"/>
    <col min="14363" max="14583" width="7.875" style="150"/>
    <col min="14584" max="14584" width="18.75" style="150" customWidth="1"/>
    <col min="14585" max="14585" width="9.625" style="150" bestFit="1" customWidth="1"/>
    <col min="14586" max="14586" width="13.625" style="150" customWidth="1"/>
    <col min="14587" max="14587" width="13.75" style="150" customWidth="1"/>
    <col min="14588" max="14588" width="9.5" style="150" customWidth="1"/>
    <col min="14589" max="14589" width="12.375" style="150" customWidth="1"/>
    <col min="14590" max="14590" width="14.875" style="150" customWidth="1"/>
    <col min="14591" max="14591" width="14.75" style="150" customWidth="1"/>
    <col min="14592" max="14592" width="14.25" style="150" customWidth="1"/>
    <col min="14593" max="14593" width="15.875" style="150" customWidth="1"/>
    <col min="14594" max="14594" width="15.625" style="150" customWidth="1"/>
    <col min="14595" max="14595" width="15" style="150" customWidth="1"/>
    <col min="14596" max="14607" width="16.625" style="150" customWidth="1"/>
    <col min="14608" max="14608" width="6.125" style="150" customWidth="1"/>
    <col min="14609" max="14615" width="5.75" style="150" customWidth="1"/>
    <col min="14616" max="14618" width="7.875" style="150" customWidth="1"/>
    <col min="14619" max="14839" width="7.875" style="150"/>
    <col min="14840" max="14840" width="18.75" style="150" customWidth="1"/>
    <col min="14841" max="14841" width="9.625" style="150" bestFit="1" customWidth="1"/>
    <col min="14842" max="14842" width="13.625" style="150" customWidth="1"/>
    <col min="14843" max="14843" width="13.75" style="150" customWidth="1"/>
    <col min="14844" max="14844" width="9.5" style="150" customWidth="1"/>
    <col min="14845" max="14845" width="12.375" style="150" customWidth="1"/>
    <col min="14846" max="14846" width="14.875" style="150" customWidth="1"/>
    <col min="14847" max="14847" width="14.75" style="150" customWidth="1"/>
    <col min="14848" max="14848" width="14.25" style="150" customWidth="1"/>
    <col min="14849" max="14849" width="15.875" style="150" customWidth="1"/>
    <col min="14850" max="14850" width="15.625" style="150" customWidth="1"/>
    <col min="14851" max="14851" width="15" style="150" customWidth="1"/>
    <col min="14852" max="14863" width="16.625" style="150" customWidth="1"/>
    <col min="14864" max="14864" width="6.125" style="150" customWidth="1"/>
    <col min="14865" max="14871" width="5.75" style="150" customWidth="1"/>
    <col min="14872" max="14874" width="7.875" style="150" customWidth="1"/>
    <col min="14875" max="15095" width="7.875" style="150"/>
    <col min="15096" max="15096" width="18.75" style="150" customWidth="1"/>
    <col min="15097" max="15097" width="9.625" style="150" bestFit="1" customWidth="1"/>
    <col min="15098" max="15098" width="13.625" style="150" customWidth="1"/>
    <col min="15099" max="15099" width="13.75" style="150" customWidth="1"/>
    <col min="15100" max="15100" width="9.5" style="150" customWidth="1"/>
    <col min="15101" max="15101" width="12.375" style="150" customWidth="1"/>
    <col min="15102" max="15102" width="14.875" style="150" customWidth="1"/>
    <col min="15103" max="15103" width="14.75" style="150" customWidth="1"/>
    <col min="15104" max="15104" width="14.25" style="150" customWidth="1"/>
    <col min="15105" max="15105" width="15.875" style="150" customWidth="1"/>
    <col min="15106" max="15106" width="15.625" style="150" customWidth="1"/>
    <col min="15107" max="15107" width="15" style="150" customWidth="1"/>
    <col min="15108" max="15119" width="16.625" style="150" customWidth="1"/>
    <col min="15120" max="15120" width="6.125" style="150" customWidth="1"/>
    <col min="15121" max="15127" width="5.75" style="150" customWidth="1"/>
    <col min="15128" max="15130" width="7.875" style="150" customWidth="1"/>
    <col min="15131" max="15351" width="7.875" style="150"/>
    <col min="15352" max="15352" width="18.75" style="150" customWidth="1"/>
    <col min="15353" max="15353" width="9.625" style="150" bestFit="1" customWidth="1"/>
    <col min="15354" max="15354" width="13.625" style="150" customWidth="1"/>
    <col min="15355" max="15355" width="13.75" style="150" customWidth="1"/>
    <col min="15356" max="15356" width="9.5" style="150" customWidth="1"/>
    <col min="15357" max="15357" width="12.375" style="150" customWidth="1"/>
    <col min="15358" max="15358" width="14.875" style="150" customWidth="1"/>
    <col min="15359" max="15359" width="14.75" style="150" customWidth="1"/>
    <col min="15360" max="15360" width="14.25" style="150" customWidth="1"/>
    <col min="15361" max="15361" width="15.875" style="150" customWidth="1"/>
    <col min="15362" max="15362" width="15.625" style="150" customWidth="1"/>
    <col min="15363" max="15363" width="15" style="150" customWidth="1"/>
    <col min="15364" max="15375" width="16.625" style="150" customWidth="1"/>
    <col min="15376" max="15376" width="6.125" style="150" customWidth="1"/>
    <col min="15377" max="15383" width="5.75" style="150" customWidth="1"/>
    <col min="15384" max="15386" width="7.875" style="150" customWidth="1"/>
    <col min="15387" max="15607" width="7.875" style="150"/>
    <col min="15608" max="15608" width="18.75" style="150" customWidth="1"/>
    <col min="15609" max="15609" width="9.625" style="150" bestFit="1" customWidth="1"/>
    <col min="15610" max="15610" width="13.625" style="150" customWidth="1"/>
    <col min="15611" max="15611" width="13.75" style="150" customWidth="1"/>
    <col min="15612" max="15612" width="9.5" style="150" customWidth="1"/>
    <col min="15613" max="15613" width="12.375" style="150" customWidth="1"/>
    <col min="15614" max="15614" width="14.875" style="150" customWidth="1"/>
    <col min="15615" max="15615" width="14.75" style="150" customWidth="1"/>
    <col min="15616" max="15616" width="14.25" style="150" customWidth="1"/>
    <col min="15617" max="15617" width="15.875" style="150" customWidth="1"/>
    <col min="15618" max="15618" width="15.625" style="150" customWidth="1"/>
    <col min="15619" max="15619" width="15" style="150" customWidth="1"/>
    <col min="15620" max="15631" width="16.625" style="150" customWidth="1"/>
    <col min="15632" max="15632" width="6.125" style="150" customWidth="1"/>
    <col min="15633" max="15639" width="5.75" style="150" customWidth="1"/>
    <col min="15640" max="15642" width="7.875" style="150" customWidth="1"/>
    <col min="15643" max="15863" width="7.875" style="150"/>
    <col min="15864" max="15864" width="18.75" style="150" customWidth="1"/>
    <col min="15865" max="15865" width="9.625" style="150" bestFit="1" customWidth="1"/>
    <col min="15866" max="15866" width="13.625" style="150" customWidth="1"/>
    <col min="15867" max="15867" width="13.75" style="150" customWidth="1"/>
    <col min="15868" max="15868" width="9.5" style="150" customWidth="1"/>
    <col min="15869" max="15869" width="12.375" style="150" customWidth="1"/>
    <col min="15870" max="15870" width="14.875" style="150" customWidth="1"/>
    <col min="15871" max="15871" width="14.75" style="150" customWidth="1"/>
    <col min="15872" max="15872" width="14.25" style="150" customWidth="1"/>
    <col min="15873" max="15873" width="15.875" style="150" customWidth="1"/>
    <col min="15874" max="15874" width="15.625" style="150" customWidth="1"/>
    <col min="15875" max="15875" width="15" style="150" customWidth="1"/>
    <col min="15876" max="15887" width="16.625" style="150" customWidth="1"/>
    <col min="15888" max="15888" width="6.125" style="150" customWidth="1"/>
    <col min="15889" max="15895" width="5.75" style="150" customWidth="1"/>
    <col min="15896" max="15898" width="7.875" style="150" customWidth="1"/>
    <col min="15899" max="16119" width="7.875" style="150"/>
    <col min="16120" max="16120" width="18.75" style="150" customWidth="1"/>
    <col min="16121" max="16121" width="9.625" style="150" bestFit="1" customWidth="1"/>
    <col min="16122" max="16122" width="13.625" style="150" customWidth="1"/>
    <col min="16123" max="16123" width="13.75" style="150" customWidth="1"/>
    <col min="16124" max="16124" width="9.5" style="150" customWidth="1"/>
    <col min="16125" max="16125" width="12.375" style="150" customWidth="1"/>
    <col min="16126" max="16126" width="14.875" style="150" customWidth="1"/>
    <col min="16127" max="16127" width="14.75" style="150" customWidth="1"/>
    <col min="16128" max="16128" width="14.25" style="150" customWidth="1"/>
    <col min="16129" max="16129" width="15.875" style="150" customWidth="1"/>
    <col min="16130" max="16130" width="15.625" style="150" customWidth="1"/>
    <col min="16131" max="16131" width="15" style="150" customWidth="1"/>
    <col min="16132" max="16143" width="16.625" style="150" customWidth="1"/>
    <col min="16144" max="16144" width="6.125" style="150" customWidth="1"/>
    <col min="16145" max="16151" width="5.75" style="150" customWidth="1"/>
    <col min="16152" max="16154" width="7.875" style="150" customWidth="1"/>
    <col min="16155" max="16384" width="7.875" style="150"/>
  </cols>
  <sheetData>
    <row r="1" spans="1:27" s="118" customFormat="1" ht="26.25" x14ac:dyDescent="0.4">
      <c r="A1" s="333" t="s">
        <v>315</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row>
    <row r="2" spans="1:27" s="118" customFormat="1" ht="27" customHeight="1" x14ac:dyDescent="0.4">
      <c r="A2" s="118" t="s">
        <v>484</v>
      </c>
      <c r="M2" s="119" t="s">
        <v>1</v>
      </c>
      <c r="N2" s="119"/>
      <c r="O2" s="119"/>
      <c r="P2" s="119"/>
      <c r="Q2" s="119"/>
      <c r="R2" s="119"/>
      <c r="S2" s="119"/>
      <c r="T2" s="119"/>
      <c r="U2" s="119"/>
      <c r="V2" s="119"/>
      <c r="W2" s="119"/>
      <c r="X2" s="119"/>
    </row>
    <row r="3" spans="1:27" s="118" customFormat="1" ht="15" customHeight="1" x14ac:dyDescent="0.4">
      <c r="A3" s="243"/>
      <c r="B3" s="243"/>
      <c r="M3" s="119"/>
      <c r="N3" s="119"/>
      <c r="O3" s="119"/>
      <c r="P3" s="119"/>
      <c r="Q3" s="119"/>
      <c r="R3" s="119"/>
      <c r="S3" s="119"/>
      <c r="T3" s="119"/>
      <c r="U3" s="119"/>
      <c r="V3" s="119"/>
      <c r="W3" s="119"/>
      <c r="X3" s="119"/>
    </row>
    <row r="4" spans="1:27" ht="21" x14ac:dyDescent="0.25">
      <c r="A4" s="330" t="s">
        <v>485</v>
      </c>
      <c r="B4" s="180"/>
      <c r="C4" s="334" t="s">
        <v>486</v>
      </c>
      <c r="D4" s="334"/>
      <c r="E4" s="334"/>
      <c r="F4" s="334"/>
      <c r="G4" s="334"/>
      <c r="H4" s="334"/>
      <c r="I4" s="334"/>
      <c r="J4" s="334"/>
      <c r="K4" s="334"/>
      <c r="L4" s="334"/>
      <c r="M4" s="334"/>
      <c r="N4" s="334" t="s">
        <v>487</v>
      </c>
      <c r="O4" s="334"/>
      <c r="P4" s="334"/>
      <c r="Q4" s="334"/>
      <c r="R4" s="334"/>
      <c r="S4" s="334"/>
      <c r="T4" s="334"/>
      <c r="U4" s="334"/>
      <c r="V4" s="334"/>
      <c r="W4" s="334"/>
      <c r="X4" s="334"/>
      <c r="Y4" s="330" t="s">
        <v>488</v>
      </c>
      <c r="Z4" s="330" t="s">
        <v>489</v>
      </c>
      <c r="AA4" s="330" t="s">
        <v>490</v>
      </c>
    </row>
    <row r="5" spans="1:27" x14ac:dyDescent="0.25">
      <c r="A5" s="330"/>
      <c r="B5" s="244"/>
      <c r="C5" s="327" t="s">
        <v>491</v>
      </c>
      <c r="D5" s="328"/>
      <c r="E5" s="328"/>
      <c r="F5" s="328"/>
      <c r="G5" s="329"/>
      <c r="H5" s="327" t="s">
        <v>492</v>
      </c>
      <c r="I5" s="328"/>
      <c r="J5" s="328"/>
      <c r="K5" s="328"/>
      <c r="L5" s="329"/>
      <c r="M5" s="330" t="s">
        <v>10</v>
      </c>
      <c r="N5" s="327" t="s">
        <v>491</v>
      </c>
      <c r="O5" s="328"/>
      <c r="P5" s="328"/>
      <c r="Q5" s="328"/>
      <c r="R5" s="329"/>
      <c r="S5" s="327" t="s">
        <v>492</v>
      </c>
      <c r="T5" s="328"/>
      <c r="U5" s="328"/>
      <c r="V5" s="328"/>
      <c r="W5" s="329"/>
      <c r="X5" s="330" t="s">
        <v>10</v>
      </c>
      <c r="Y5" s="330"/>
      <c r="Z5" s="330"/>
      <c r="AA5" s="330"/>
    </row>
    <row r="6" spans="1:27" ht="63" x14ac:dyDescent="0.25">
      <c r="A6" s="330"/>
      <c r="B6" s="180" t="s">
        <v>493</v>
      </c>
      <c r="C6" s="180" t="s">
        <v>494</v>
      </c>
      <c r="D6" s="180" t="s">
        <v>495</v>
      </c>
      <c r="E6" s="245" t="s">
        <v>496</v>
      </c>
      <c r="F6" s="180" t="s">
        <v>497</v>
      </c>
      <c r="G6" s="180" t="s">
        <v>412</v>
      </c>
      <c r="H6" s="180" t="s">
        <v>498</v>
      </c>
      <c r="I6" s="180" t="s">
        <v>499</v>
      </c>
      <c r="J6" s="180" t="s">
        <v>500</v>
      </c>
      <c r="K6" s="180" t="s">
        <v>501</v>
      </c>
      <c r="L6" s="180" t="s">
        <v>412</v>
      </c>
      <c r="M6" s="330"/>
      <c r="N6" s="180" t="s">
        <v>494</v>
      </c>
      <c r="O6" s="180" t="s">
        <v>495</v>
      </c>
      <c r="P6" s="245" t="s">
        <v>496</v>
      </c>
      <c r="Q6" s="180" t="s">
        <v>497</v>
      </c>
      <c r="R6" s="180" t="s">
        <v>412</v>
      </c>
      <c r="S6" s="180" t="s">
        <v>498</v>
      </c>
      <c r="T6" s="180" t="s">
        <v>499</v>
      </c>
      <c r="U6" s="180" t="s">
        <v>500</v>
      </c>
      <c r="V6" s="180" t="s">
        <v>501</v>
      </c>
      <c r="W6" s="180" t="s">
        <v>412</v>
      </c>
      <c r="X6" s="330"/>
      <c r="Y6" s="330"/>
      <c r="Z6" s="330"/>
      <c r="AA6" s="330"/>
    </row>
    <row r="7" spans="1:27" s="249" customFormat="1" ht="30" customHeight="1" x14ac:dyDescent="0.35">
      <c r="A7" s="246" t="s">
        <v>502</v>
      </c>
      <c r="B7" s="246"/>
      <c r="C7" s="247"/>
      <c r="D7" s="247"/>
      <c r="E7" s="247"/>
      <c r="F7" s="247"/>
      <c r="G7" s="247"/>
      <c r="H7" s="247"/>
      <c r="I7" s="247"/>
      <c r="J7" s="247"/>
      <c r="K7" s="247"/>
      <c r="L7" s="247"/>
      <c r="M7" s="248"/>
      <c r="N7" s="248"/>
      <c r="O7" s="248"/>
      <c r="P7" s="248"/>
      <c r="Q7" s="248"/>
      <c r="R7" s="248"/>
      <c r="S7" s="248"/>
      <c r="T7" s="248"/>
      <c r="U7" s="248"/>
      <c r="V7" s="248"/>
      <c r="W7" s="248"/>
      <c r="X7" s="248"/>
      <c r="Y7" s="248"/>
      <c r="Z7" s="248"/>
      <c r="AA7" s="248"/>
    </row>
    <row r="8" spans="1:27" s="253" customFormat="1" x14ac:dyDescent="0.25">
      <c r="A8" s="154" t="s">
        <v>503</v>
      </c>
      <c r="B8" s="250">
        <v>2100400007</v>
      </c>
      <c r="C8" s="176">
        <v>49904307.229999997</v>
      </c>
      <c r="D8" s="176">
        <v>5436431.3499999996</v>
      </c>
      <c r="E8" s="176"/>
      <c r="F8" s="176">
        <v>1007023.13</v>
      </c>
      <c r="G8" s="251">
        <f>SUM(C8:F8)</f>
        <v>56347761.710000001</v>
      </c>
      <c r="H8" s="176">
        <v>28168618.440000001</v>
      </c>
      <c r="I8" s="176">
        <v>8059315.1600000001</v>
      </c>
      <c r="J8" s="176">
        <v>46219891.090000004</v>
      </c>
      <c r="K8" s="176"/>
      <c r="L8" s="252">
        <f>SUM(H8:K8)</f>
        <v>82447824.689999998</v>
      </c>
      <c r="M8" s="201">
        <f>G8+L8</f>
        <v>138795586.40000001</v>
      </c>
      <c r="N8" s="201">
        <v>50838798.899999999</v>
      </c>
      <c r="O8" s="201">
        <v>3618086.7</v>
      </c>
      <c r="P8" s="254">
        <v>0</v>
      </c>
      <c r="Q8" s="201">
        <v>96089.29</v>
      </c>
      <c r="R8" s="201">
        <f>SUM(N8:Q8)</f>
        <v>54552974.890000001</v>
      </c>
      <c r="S8" s="201">
        <v>20556547.07</v>
      </c>
      <c r="T8" s="201">
        <v>7557565.9500000002</v>
      </c>
      <c r="U8" s="176">
        <v>39927513.640000001</v>
      </c>
      <c r="V8" s="176">
        <v>26934440.949999999</v>
      </c>
      <c r="W8" s="201">
        <f>SUM(S8:V8)</f>
        <v>94976067.609999999</v>
      </c>
      <c r="X8" s="201">
        <f>+R8+W8</f>
        <v>149529042.5</v>
      </c>
      <c r="Y8" s="201">
        <f>(R8-G8)/G8*100</f>
        <v>-3.1851962980128108</v>
      </c>
      <c r="Z8" s="201">
        <f>(W8-L8)/L8*100</f>
        <v>15.195358964418546</v>
      </c>
      <c r="AA8" s="201">
        <f>(X8-M8)/M8*100</f>
        <v>7.7332834410648044</v>
      </c>
    </row>
    <row r="9" spans="1:27" s="253" customFormat="1" ht="31.5" x14ac:dyDescent="0.25">
      <c r="A9" s="154" t="s">
        <v>504</v>
      </c>
      <c r="B9" s="250">
        <v>2100400008</v>
      </c>
      <c r="C9" s="89">
        <v>45620784.179999992</v>
      </c>
      <c r="D9" s="176">
        <v>16314317.51</v>
      </c>
      <c r="E9" s="176"/>
      <c r="F9" s="89"/>
      <c r="G9" s="251">
        <f t="shared" ref="G9:G47" si="0">SUM(C9:F9)</f>
        <v>61935101.68999999</v>
      </c>
      <c r="H9" s="176">
        <v>16257396.67</v>
      </c>
      <c r="I9" s="176">
        <v>3613026.93</v>
      </c>
      <c r="J9" s="176">
        <v>26244921.109999999</v>
      </c>
      <c r="K9" s="176"/>
      <c r="L9" s="252">
        <f t="shared" ref="L9:L20" si="1">SUM(H9:K9)</f>
        <v>46115344.710000001</v>
      </c>
      <c r="M9" s="201">
        <f>G9+L9</f>
        <v>108050446.39999999</v>
      </c>
      <c r="N9" s="201">
        <v>46430951.170000002</v>
      </c>
      <c r="O9" s="201">
        <v>17026676.68</v>
      </c>
      <c r="P9" s="254">
        <v>0</v>
      </c>
      <c r="Q9" s="201">
        <v>0</v>
      </c>
      <c r="R9" s="201">
        <f t="shared" ref="R9:R51" si="2">SUM(N9:Q9)</f>
        <v>63457627.850000001</v>
      </c>
      <c r="S9" s="201">
        <v>11083623.439999999</v>
      </c>
      <c r="T9" s="201">
        <v>3001921.43</v>
      </c>
      <c r="U9" s="176">
        <f>25953774.11-0.01</f>
        <v>25953774.099999998</v>
      </c>
      <c r="V9" s="176">
        <v>0</v>
      </c>
      <c r="W9" s="201">
        <f t="shared" ref="W9:W51" si="3">SUM(S9:V9)</f>
        <v>40039318.969999999</v>
      </c>
      <c r="X9" s="201">
        <f t="shared" ref="X9:X51" si="4">+R9+W9</f>
        <v>103496946.81999999</v>
      </c>
      <c r="Y9" s="201">
        <f t="shared" ref="Y9:Y51" si="5">(R9-G9)/G9*100</f>
        <v>2.4582605315167143</v>
      </c>
      <c r="Z9" s="201">
        <f t="shared" ref="Z9:AA51" si="6">(W9-L9)/L9*100</f>
        <v>-13.17571358993318</v>
      </c>
      <c r="AA9" s="201">
        <f t="shared" si="6"/>
        <v>-4.214234861319369</v>
      </c>
    </row>
    <row r="10" spans="1:27" s="253" customFormat="1" x14ac:dyDescent="0.25">
      <c r="A10" s="154" t="s">
        <v>505</v>
      </c>
      <c r="B10" s="250">
        <v>2100400009</v>
      </c>
      <c r="C10" s="181">
        <v>76445910.769999996</v>
      </c>
      <c r="D10" s="176">
        <f>7201996.07-2359873.02</f>
        <v>4842123.0500000007</v>
      </c>
      <c r="E10" s="181">
        <v>15241.73</v>
      </c>
      <c r="F10" s="176"/>
      <c r="G10" s="251">
        <f t="shared" si="0"/>
        <v>81303275.549999997</v>
      </c>
      <c r="H10" s="176">
        <v>14419696.27</v>
      </c>
      <c r="I10" s="176">
        <v>2457563</v>
      </c>
      <c r="J10" s="176">
        <f>72679103.91-2160870.79</f>
        <v>70518233.11999999</v>
      </c>
      <c r="K10" s="176"/>
      <c r="L10" s="252">
        <f t="shared" si="1"/>
        <v>87395492.389999986</v>
      </c>
      <c r="M10" s="201">
        <f t="shared" ref="M10:M38" si="7">G10+L10</f>
        <v>168698767.94</v>
      </c>
      <c r="N10" s="201">
        <v>77011154.840000004</v>
      </c>
      <c r="O10" s="201">
        <v>5675467.6100000003</v>
      </c>
      <c r="P10" s="182">
        <v>1</v>
      </c>
      <c r="Q10" s="201">
        <v>0</v>
      </c>
      <c r="R10" s="201">
        <f t="shared" si="2"/>
        <v>82686623.450000003</v>
      </c>
      <c r="S10" s="201">
        <v>10930979.869999999</v>
      </c>
      <c r="T10" s="201">
        <v>2373193.2000000002</v>
      </c>
      <c r="U10" s="176">
        <v>130993926.81999999</v>
      </c>
      <c r="V10" s="176">
        <v>0</v>
      </c>
      <c r="W10" s="201">
        <f t="shared" si="3"/>
        <v>144298099.88999999</v>
      </c>
      <c r="X10" s="201">
        <f t="shared" si="4"/>
        <v>226984723.33999997</v>
      </c>
      <c r="Y10" s="201">
        <f t="shared" si="5"/>
        <v>1.7014663808339097</v>
      </c>
      <c r="Z10" s="201">
        <f t="shared" si="6"/>
        <v>65.109316217447088</v>
      </c>
      <c r="AA10" s="201">
        <f t="shared" si="6"/>
        <v>34.550314807711082</v>
      </c>
    </row>
    <row r="11" spans="1:27" s="253" customFormat="1" x14ac:dyDescent="0.25">
      <c r="A11" s="154" t="s">
        <v>506</v>
      </c>
      <c r="B11" s="250">
        <v>2100400010</v>
      </c>
      <c r="C11" s="268">
        <v>42823376.900000006</v>
      </c>
      <c r="D11" s="176">
        <f>3311327.04-808000</f>
        <v>2503327.04</v>
      </c>
      <c r="E11" s="176"/>
      <c r="F11" s="89">
        <v>52602</v>
      </c>
      <c r="G11" s="251">
        <f t="shared" si="0"/>
        <v>45379305.940000005</v>
      </c>
      <c r="H11" s="176">
        <v>12501547.16</v>
      </c>
      <c r="I11" s="176">
        <v>4331546.29</v>
      </c>
      <c r="J11" s="176">
        <f>65274107.27-1603945.33</f>
        <v>63670161.940000005</v>
      </c>
      <c r="K11" s="176">
        <v>231826031.71000001</v>
      </c>
      <c r="L11" s="252">
        <f t="shared" si="1"/>
        <v>312329287.10000002</v>
      </c>
      <c r="M11" s="201">
        <f t="shared" si="7"/>
        <v>357708593.04000002</v>
      </c>
      <c r="N11" s="201">
        <v>45291083.960000001</v>
      </c>
      <c r="O11" s="201">
        <v>3116030.91</v>
      </c>
      <c r="P11" s="254">
        <v>0</v>
      </c>
      <c r="Q11" s="201">
        <v>0</v>
      </c>
      <c r="R11" s="201">
        <f t="shared" si="2"/>
        <v>48407114.870000005</v>
      </c>
      <c r="S11" s="201">
        <v>6974328.5800000001</v>
      </c>
      <c r="T11" s="201">
        <v>4168587.96</v>
      </c>
      <c r="U11" s="176">
        <f>42889096.15+0.01</f>
        <v>42889096.159999996</v>
      </c>
      <c r="V11" s="176">
        <v>78076800</v>
      </c>
      <c r="W11" s="201">
        <f t="shared" si="3"/>
        <v>132108812.69999999</v>
      </c>
      <c r="X11" s="201">
        <f t="shared" si="4"/>
        <v>180515927.56999999</v>
      </c>
      <c r="Y11" s="201">
        <f t="shared" si="5"/>
        <v>6.6722239736397331</v>
      </c>
      <c r="Z11" s="201">
        <f t="shared" si="6"/>
        <v>-57.702073370499498</v>
      </c>
      <c r="AA11" s="201">
        <f t="shared" si="6"/>
        <v>-49.535479135159001</v>
      </c>
    </row>
    <row r="12" spans="1:27" s="253" customFormat="1" x14ac:dyDescent="0.25">
      <c r="A12" s="154" t="s">
        <v>507</v>
      </c>
      <c r="B12" s="250">
        <v>2100400011</v>
      </c>
      <c r="C12" s="176">
        <v>35733537.939999998</v>
      </c>
      <c r="D12" s="176">
        <v>456660.96</v>
      </c>
      <c r="E12" s="89"/>
      <c r="F12" s="176">
        <v>723440.09</v>
      </c>
      <c r="G12" s="251">
        <f t="shared" si="0"/>
        <v>36913638.990000002</v>
      </c>
      <c r="H12" s="176">
        <v>21547615.079999998</v>
      </c>
      <c r="I12" s="176">
        <v>1250579.03</v>
      </c>
      <c r="J12" s="255">
        <f>20602383.5-348079.01</f>
        <v>20254304.489999998</v>
      </c>
      <c r="K12" s="176"/>
      <c r="L12" s="252">
        <f t="shared" si="1"/>
        <v>43052498.599999994</v>
      </c>
      <c r="M12" s="201">
        <f t="shared" si="7"/>
        <v>79966137.590000004</v>
      </c>
      <c r="N12" s="201">
        <v>36544906.32</v>
      </c>
      <c r="O12" s="201">
        <v>636995.48</v>
      </c>
      <c r="P12" s="92">
        <v>0</v>
      </c>
      <c r="Q12" s="201">
        <v>834036.5</v>
      </c>
      <c r="R12" s="201">
        <f t="shared" si="2"/>
        <v>38015938.299999997</v>
      </c>
      <c r="S12" s="201">
        <v>15055829.539999999</v>
      </c>
      <c r="T12" s="201">
        <v>1680942.57</v>
      </c>
      <c r="U12" s="255">
        <v>12604037.810000001</v>
      </c>
      <c r="V12" s="176">
        <v>0</v>
      </c>
      <c r="W12" s="201">
        <f t="shared" si="3"/>
        <v>29340809.920000002</v>
      </c>
      <c r="X12" s="201">
        <f t="shared" si="4"/>
        <v>67356748.219999999</v>
      </c>
      <c r="Y12" s="201">
        <f t="shared" si="5"/>
        <v>2.9861572582930949</v>
      </c>
      <c r="Z12" s="201">
        <f t="shared" si="6"/>
        <v>-31.848764011108972</v>
      </c>
      <c r="AA12" s="201">
        <f t="shared" si="6"/>
        <v>-15.768411167550056</v>
      </c>
    </row>
    <row r="13" spans="1:27" s="253" customFormat="1" ht="31.5" x14ac:dyDescent="0.25">
      <c r="A13" s="154" t="s">
        <v>508</v>
      </c>
      <c r="B13" s="250">
        <v>2100400012</v>
      </c>
      <c r="C13" s="176">
        <v>87623802.659999996</v>
      </c>
      <c r="D13" s="176">
        <f>3999909.98-1936634.92</f>
        <v>2063275.06</v>
      </c>
      <c r="E13" s="176"/>
      <c r="F13" s="176">
        <v>52546480.049999997</v>
      </c>
      <c r="G13" s="251">
        <f t="shared" si="0"/>
        <v>142233557.76999998</v>
      </c>
      <c r="H13" s="176">
        <v>15897184.16</v>
      </c>
      <c r="I13" s="176">
        <v>678727.16</v>
      </c>
      <c r="J13" s="176">
        <f>47523731.96-1826715.51</f>
        <v>45697016.450000003</v>
      </c>
      <c r="K13" s="176">
        <v>167986958.5</v>
      </c>
      <c r="L13" s="252">
        <f t="shared" si="1"/>
        <v>230259886.27000001</v>
      </c>
      <c r="M13" s="201">
        <f t="shared" si="7"/>
        <v>372493444.03999996</v>
      </c>
      <c r="N13" s="201">
        <v>89549875.280000001</v>
      </c>
      <c r="O13" s="201">
        <v>1383138.1</v>
      </c>
      <c r="P13" s="254">
        <v>0</v>
      </c>
      <c r="Q13" s="201">
        <v>0</v>
      </c>
      <c r="R13" s="201">
        <f t="shared" si="2"/>
        <v>90933013.379999995</v>
      </c>
      <c r="S13" s="201">
        <v>12007727.27</v>
      </c>
      <c r="T13" s="201">
        <v>2866749.24</v>
      </c>
      <c r="U13" s="176">
        <v>47679721.979999997</v>
      </c>
      <c r="V13" s="176">
        <v>179679730</v>
      </c>
      <c r="W13" s="201">
        <f t="shared" si="3"/>
        <v>242233928.49000001</v>
      </c>
      <c r="X13" s="201">
        <f t="shared" si="4"/>
        <v>333166941.87</v>
      </c>
      <c r="Y13" s="201">
        <f t="shared" si="5"/>
        <v>-36.067820558180777</v>
      </c>
      <c r="Z13" s="201">
        <f t="shared" si="6"/>
        <v>5.2002293642929098</v>
      </c>
      <c r="AA13" s="201">
        <f t="shared" si="6"/>
        <v>-10.55763606024081</v>
      </c>
    </row>
    <row r="14" spans="1:27" s="253" customFormat="1" ht="36.75" customHeight="1" x14ac:dyDescent="0.25">
      <c r="A14" s="154" t="s">
        <v>509</v>
      </c>
      <c r="B14" s="250">
        <v>2100400056</v>
      </c>
      <c r="C14" s="89">
        <v>11095801.359999999</v>
      </c>
      <c r="D14" s="176">
        <f>1093306.73-666920.63</f>
        <v>426386.1</v>
      </c>
      <c r="E14" s="176"/>
      <c r="F14" s="176">
        <v>208</v>
      </c>
      <c r="G14" s="251">
        <f t="shared" si="0"/>
        <v>11522395.459999999</v>
      </c>
      <c r="H14" s="176">
        <v>6152288.5</v>
      </c>
      <c r="I14" s="176">
        <v>764880.57</v>
      </c>
      <c r="J14" s="176">
        <f>75898494.14-534648.44</f>
        <v>75363845.700000003</v>
      </c>
      <c r="K14" s="176"/>
      <c r="L14" s="252">
        <f t="shared" si="1"/>
        <v>82281014.770000011</v>
      </c>
      <c r="M14" s="201">
        <f t="shared" si="7"/>
        <v>93803410.230000004</v>
      </c>
      <c r="N14" s="201">
        <v>11114318.789999999</v>
      </c>
      <c r="O14" s="201">
        <v>439335.35</v>
      </c>
      <c r="P14" s="254">
        <v>0</v>
      </c>
      <c r="Q14" s="201">
        <v>0</v>
      </c>
      <c r="R14" s="201">
        <f t="shared" si="2"/>
        <v>11553654.139999999</v>
      </c>
      <c r="S14" s="201">
        <v>4076852.2</v>
      </c>
      <c r="T14" s="201">
        <v>412394</v>
      </c>
      <c r="U14" s="176">
        <v>68977780.939999998</v>
      </c>
      <c r="V14" s="176">
        <v>0</v>
      </c>
      <c r="W14" s="201">
        <f t="shared" si="3"/>
        <v>73467027.140000001</v>
      </c>
      <c r="X14" s="201">
        <f t="shared" si="4"/>
        <v>85020681.280000001</v>
      </c>
      <c r="Y14" s="201">
        <f t="shared" si="5"/>
        <v>0.27128629726790948</v>
      </c>
      <c r="Z14" s="201">
        <f t="shared" si="6"/>
        <v>-10.712055089060017</v>
      </c>
      <c r="AA14" s="201">
        <f t="shared" si="6"/>
        <v>-9.3629100780721188</v>
      </c>
    </row>
    <row r="15" spans="1:27" s="253" customFormat="1" x14ac:dyDescent="0.25">
      <c r="A15" s="154" t="s">
        <v>510</v>
      </c>
      <c r="B15" s="250">
        <v>2100400057</v>
      </c>
      <c r="C15" s="89">
        <v>3364898.37</v>
      </c>
      <c r="D15" s="176">
        <f>607793.79-500190.48</f>
        <v>107603.31000000006</v>
      </c>
      <c r="E15" s="176">
        <v>1253.6400000000001</v>
      </c>
      <c r="F15" s="176"/>
      <c r="G15" s="251">
        <f t="shared" si="0"/>
        <v>3473755.3200000003</v>
      </c>
      <c r="H15" s="176">
        <v>2703412.98</v>
      </c>
      <c r="I15" s="176">
        <v>7705</v>
      </c>
      <c r="J15" s="176">
        <v>4236472.17</v>
      </c>
      <c r="K15" s="176"/>
      <c r="L15" s="252">
        <f t="shared" si="1"/>
        <v>6947590.1500000004</v>
      </c>
      <c r="M15" s="201">
        <f t="shared" si="7"/>
        <v>10421345.470000001</v>
      </c>
      <c r="N15" s="201"/>
      <c r="O15" s="201"/>
      <c r="P15" s="254"/>
      <c r="Q15" s="201"/>
      <c r="R15" s="201">
        <f t="shared" si="2"/>
        <v>0</v>
      </c>
      <c r="S15" s="201"/>
      <c r="T15" s="201"/>
      <c r="U15" s="176"/>
      <c r="V15" s="176"/>
      <c r="W15" s="201">
        <f t="shared" si="3"/>
        <v>0</v>
      </c>
      <c r="X15" s="201">
        <f t="shared" si="4"/>
        <v>0</v>
      </c>
      <c r="Y15" s="201">
        <f t="shared" si="5"/>
        <v>-100</v>
      </c>
      <c r="Z15" s="201">
        <f t="shared" si="6"/>
        <v>-100</v>
      </c>
      <c r="AA15" s="201">
        <f t="shared" si="6"/>
        <v>-100</v>
      </c>
    </row>
    <row r="16" spans="1:27" s="253" customFormat="1" ht="31.5" x14ac:dyDescent="0.25">
      <c r="A16" s="154" t="s">
        <v>511</v>
      </c>
      <c r="B16" s="250">
        <v>2100400058</v>
      </c>
      <c r="C16" s="89">
        <v>11004931.23</v>
      </c>
      <c r="D16" s="176">
        <f>849232.57-513015.87</f>
        <v>336216.69999999995</v>
      </c>
      <c r="E16" s="176"/>
      <c r="F16" s="89">
        <v>120054</v>
      </c>
      <c r="G16" s="251">
        <f t="shared" si="0"/>
        <v>11461201.93</v>
      </c>
      <c r="H16" s="176">
        <v>5410083</v>
      </c>
      <c r="I16" s="176">
        <v>412551</v>
      </c>
      <c r="J16" s="176">
        <f>15166417.79-412124.84</f>
        <v>14754292.949999999</v>
      </c>
      <c r="K16" s="176"/>
      <c r="L16" s="252">
        <f t="shared" si="1"/>
        <v>20576926.949999999</v>
      </c>
      <c r="M16" s="201">
        <f t="shared" si="7"/>
        <v>32038128.879999999</v>
      </c>
      <c r="N16" s="201">
        <v>11833358.52</v>
      </c>
      <c r="O16" s="201">
        <v>667854.56999999995</v>
      </c>
      <c r="P16" s="254">
        <v>0</v>
      </c>
      <c r="Q16" s="201">
        <v>0</v>
      </c>
      <c r="R16" s="201">
        <f t="shared" si="2"/>
        <v>12501213.09</v>
      </c>
      <c r="S16" s="201">
        <v>4917321.5</v>
      </c>
      <c r="T16" s="201">
        <v>280203</v>
      </c>
      <c r="U16" s="176">
        <v>7308293.21</v>
      </c>
      <c r="V16" s="176">
        <v>0</v>
      </c>
      <c r="W16" s="201">
        <f t="shared" si="3"/>
        <v>12505817.710000001</v>
      </c>
      <c r="X16" s="201">
        <f t="shared" si="4"/>
        <v>25007030.800000001</v>
      </c>
      <c r="Y16" s="201">
        <f t="shared" si="5"/>
        <v>9.0741893071244419</v>
      </c>
      <c r="Z16" s="201">
        <f t="shared" si="6"/>
        <v>-39.224074904926454</v>
      </c>
      <c r="AA16" s="201">
        <f t="shared" si="6"/>
        <v>-21.946032199118861</v>
      </c>
    </row>
    <row r="17" spans="1:27" s="253" customFormat="1" x14ac:dyDescent="0.25">
      <c r="A17" s="154" t="s">
        <v>512</v>
      </c>
      <c r="B17" s="250">
        <v>2100400061</v>
      </c>
      <c r="C17" s="176">
        <v>37767885.030000001</v>
      </c>
      <c r="D17" s="176">
        <v>4837708.83</v>
      </c>
      <c r="E17" s="176"/>
      <c r="F17" s="176"/>
      <c r="G17" s="251">
        <f t="shared" si="0"/>
        <v>42605593.859999999</v>
      </c>
      <c r="H17" s="176">
        <v>9612025.8200000003</v>
      </c>
      <c r="I17" s="176">
        <v>1540375.5</v>
      </c>
      <c r="J17" s="176">
        <v>39096925.140000001</v>
      </c>
      <c r="K17" s="176"/>
      <c r="L17" s="252">
        <f t="shared" si="1"/>
        <v>50249326.460000001</v>
      </c>
      <c r="M17" s="201">
        <f t="shared" si="7"/>
        <v>92854920.319999993</v>
      </c>
      <c r="N17" s="201">
        <v>37902111.189999998</v>
      </c>
      <c r="O17" s="201">
        <v>4163180.43</v>
      </c>
      <c r="P17" s="254">
        <v>0</v>
      </c>
      <c r="Q17" s="201">
        <v>24505</v>
      </c>
      <c r="R17" s="201">
        <f t="shared" si="2"/>
        <v>42089796.619999997</v>
      </c>
      <c r="S17" s="201">
        <v>9620385.5999999996</v>
      </c>
      <c r="T17" s="201">
        <v>618792.89</v>
      </c>
      <c r="U17" s="176">
        <v>35357076.420000002</v>
      </c>
      <c r="V17" s="176">
        <v>0</v>
      </c>
      <c r="W17" s="201">
        <f t="shared" si="3"/>
        <v>45596254.910000004</v>
      </c>
      <c r="X17" s="201">
        <f t="shared" si="4"/>
        <v>87686051.530000001</v>
      </c>
      <c r="Y17" s="201">
        <f t="shared" si="5"/>
        <v>-1.2106326734815336</v>
      </c>
      <c r="Z17" s="201">
        <f t="shared" si="6"/>
        <v>-9.2599679991810131</v>
      </c>
      <c r="AA17" s="201">
        <f t="shared" si="6"/>
        <v>-5.5666073183702585</v>
      </c>
    </row>
    <row r="18" spans="1:27" s="253" customFormat="1" ht="31.5" x14ac:dyDescent="0.25">
      <c r="A18" s="154" t="s">
        <v>513</v>
      </c>
      <c r="B18" s="250">
        <v>2100400062</v>
      </c>
      <c r="C18" s="89">
        <v>23003241.859999999</v>
      </c>
      <c r="D18" s="176">
        <f>1729273.4-974730.16</f>
        <v>754543.23999999987</v>
      </c>
      <c r="E18" s="176">
        <v>7193.02</v>
      </c>
      <c r="F18" s="176">
        <v>6520395.5099999998</v>
      </c>
      <c r="G18" s="251">
        <f t="shared" si="0"/>
        <v>30285373.629999995</v>
      </c>
      <c r="H18" s="176">
        <v>11540793.039999999</v>
      </c>
      <c r="I18" s="176">
        <v>1952625.13</v>
      </c>
      <c r="J18" s="176">
        <f>15409265.7-924496.26</f>
        <v>14484769.439999999</v>
      </c>
      <c r="K18" s="176">
        <v>270870</v>
      </c>
      <c r="L18" s="252">
        <f t="shared" si="1"/>
        <v>28249057.609999999</v>
      </c>
      <c r="M18" s="201">
        <f t="shared" si="7"/>
        <v>58534431.239999995</v>
      </c>
      <c r="N18" s="201">
        <v>24694779.530000001</v>
      </c>
      <c r="O18" s="201">
        <v>412183.42</v>
      </c>
      <c r="P18" s="254">
        <v>3</v>
      </c>
      <c r="Q18" s="201">
        <v>351340.46</v>
      </c>
      <c r="R18" s="201">
        <f t="shared" si="2"/>
        <v>25458306.410000004</v>
      </c>
      <c r="S18" s="201">
        <v>16900814.039999999</v>
      </c>
      <c r="T18" s="201">
        <v>2748363.81</v>
      </c>
      <c r="U18" s="176">
        <v>12762327.699999999</v>
      </c>
      <c r="V18" s="176">
        <v>454204</v>
      </c>
      <c r="W18" s="201">
        <f t="shared" si="3"/>
        <v>32865709.549999997</v>
      </c>
      <c r="X18" s="201">
        <f t="shared" si="4"/>
        <v>58324015.960000001</v>
      </c>
      <c r="Y18" s="201">
        <f t="shared" si="5"/>
        <v>-15.938608778524063</v>
      </c>
      <c r="Z18" s="201">
        <f t="shared" si="6"/>
        <v>16.342675935376089</v>
      </c>
      <c r="AA18" s="201">
        <f t="shared" si="6"/>
        <v>-0.35947266513491755</v>
      </c>
    </row>
    <row r="19" spans="1:27" s="253" customFormat="1" x14ac:dyDescent="0.25">
      <c r="A19" s="154" t="s">
        <v>514</v>
      </c>
      <c r="B19" s="250">
        <v>2100400065</v>
      </c>
      <c r="C19" s="89">
        <v>12771069.029999999</v>
      </c>
      <c r="D19" s="176">
        <v>161797.01999999999</v>
      </c>
      <c r="E19" s="89"/>
      <c r="F19" s="176">
        <v>1918042.59</v>
      </c>
      <c r="G19" s="251">
        <f t="shared" si="0"/>
        <v>14850908.639999999</v>
      </c>
      <c r="H19" s="176">
        <v>10485804.550000001</v>
      </c>
      <c r="I19" s="176">
        <v>1620061.41</v>
      </c>
      <c r="J19" s="176">
        <v>7658373.5</v>
      </c>
      <c r="K19" s="176">
        <v>49474832</v>
      </c>
      <c r="L19" s="252">
        <f t="shared" si="1"/>
        <v>69239071.460000008</v>
      </c>
      <c r="M19" s="201">
        <f t="shared" si="7"/>
        <v>84089980.100000009</v>
      </c>
      <c r="N19" s="201">
        <v>14601690.83</v>
      </c>
      <c r="O19" s="201">
        <v>278873.52</v>
      </c>
      <c r="P19" s="92">
        <v>0</v>
      </c>
      <c r="Q19" s="201">
        <v>8420.56</v>
      </c>
      <c r="R19" s="201">
        <f t="shared" si="2"/>
        <v>14888984.91</v>
      </c>
      <c r="S19" s="201">
        <v>13410124.890000001</v>
      </c>
      <c r="T19" s="201">
        <v>1339388.02</v>
      </c>
      <c r="U19" s="176">
        <v>11920059.5</v>
      </c>
      <c r="V19" s="176">
        <v>12528273.65</v>
      </c>
      <c r="W19" s="201">
        <f t="shared" si="3"/>
        <v>39197846.060000002</v>
      </c>
      <c r="X19" s="201">
        <f t="shared" si="4"/>
        <v>54086830.969999999</v>
      </c>
      <c r="Y19" s="201">
        <f t="shared" si="5"/>
        <v>0.25639017061518615</v>
      </c>
      <c r="Z19" s="201">
        <f t="shared" si="6"/>
        <v>-43.387678035738929</v>
      </c>
      <c r="AA19" s="201">
        <f t="shared" si="6"/>
        <v>-35.679814758334096</v>
      </c>
    </row>
    <row r="20" spans="1:27" s="253" customFormat="1" ht="31.5" customHeight="1" x14ac:dyDescent="0.25">
      <c r="A20" s="154" t="s">
        <v>515</v>
      </c>
      <c r="B20" s="250">
        <v>2100400066</v>
      </c>
      <c r="C20" s="89">
        <v>5946399.0199999996</v>
      </c>
      <c r="D20" s="176">
        <v>78079.8</v>
      </c>
      <c r="E20" s="89"/>
      <c r="F20" s="176"/>
      <c r="G20" s="251">
        <f t="shared" si="0"/>
        <v>6024478.8199999994</v>
      </c>
      <c r="H20" s="176">
        <v>6590230.9699999997</v>
      </c>
      <c r="I20" s="176">
        <v>332894</v>
      </c>
      <c r="J20" s="176">
        <v>3545175.54</v>
      </c>
      <c r="K20" s="176"/>
      <c r="L20" s="252">
        <f t="shared" si="1"/>
        <v>10468300.51</v>
      </c>
      <c r="M20" s="201">
        <f t="shared" si="7"/>
        <v>16492779.329999998</v>
      </c>
      <c r="N20" s="201">
        <v>7639572.4500000002</v>
      </c>
      <c r="O20" s="201">
        <v>138494.21</v>
      </c>
      <c r="P20" s="92">
        <v>0</v>
      </c>
      <c r="Q20" s="201">
        <v>0</v>
      </c>
      <c r="R20" s="201">
        <f t="shared" si="2"/>
        <v>7778066.6600000001</v>
      </c>
      <c r="S20" s="201">
        <v>6567186.7699999996</v>
      </c>
      <c r="T20" s="201">
        <v>961057.7</v>
      </c>
      <c r="U20" s="176">
        <v>6809681.8600000003</v>
      </c>
      <c r="V20" s="176">
        <v>0</v>
      </c>
      <c r="W20" s="201">
        <f t="shared" si="3"/>
        <v>14337926.33</v>
      </c>
      <c r="X20" s="201">
        <f t="shared" si="4"/>
        <v>22115992.990000002</v>
      </c>
      <c r="Y20" s="201">
        <f t="shared" si="5"/>
        <v>29.107710266628523</v>
      </c>
      <c r="Z20" s="201">
        <f t="shared" si="6"/>
        <v>36.965177072472102</v>
      </c>
      <c r="AA20" s="201">
        <f t="shared" si="6"/>
        <v>34.095003319249557</v>
      </c>
    </row>
    <row r="21" spans="1:27" s="253" customFormat="1" ht="31.5" customHeight="1" x14ac:dyDescent="0.25">
      <c r="A21" s="154" t="s">
        <v>516</v>
      </c>
      <c r="B21" s="250">
        <v>2100400067</v>
      </c>
      <c r="C21" s="89">
        <v>8077094.6299999999</v>
      </c>
      <c r="D21" s="176">
        <v>18063.93</v>
      </c>
      <c r="E21" s="89"/>
      <c r="F21" s="176">
        <v>123654.69</v>
      </c>
      <c r="G21" s="251">
        <f>SUM(C21:F21)</f>
        <v>8218813.25</v>
      </c>
      <c r="H21" s="176">
        <v>3701460.68</v>
      </c>
      <c r="I21" s="176">
        <v>1501458.5</v>
      </c>
      <c r="J21" s="176">
        <f>63944416.84-345293.79</f>
        <v>63599123.050000004</v>
      </c>
      <c r="K21" s="176">
        <v>1724540</v>
      </c>
      <c r="L21" s="252">
        <f>SUM(H21:K21)</f>
        <v>70526582.230000004</v>
      </c>
      <c r="M21" s="201">
        <f>G21+L21</f>
        <v>78745395.480000004</v>
      </c>
      <c r="N21" s="201">
        <v>7031311.9100000001</v>
      </c>
      <c r="O21" s="201">
        <v>45404.47</v>
      </c>
      <c r="P21" s="92">
        <v>0</v>
      </c>
      <c r="Q21" s="201">
        <v>0</v>
      </c>
      <c r="R21" s="201">
        <f t="shared" si="2"/>
        <v>7076716.3799999999</v>
      </c>
      <c r="S21" s="201">
        <v>4193903.76</v>
      </c>
      <c r="T21" s="201">
        <v>659220.21</v>
      </c>
      <c r="U21" s="176">
        <v>35931349.960000001</v>
      </c>
      <c r="V21" s="176">
        <v>0</v>
      </c>
      <c r="W21" s="201">
        <f t="shared" si="3"/>
        <v>40784473.93</v>
      </c>
      <c r="X21" s="201">
        <f t="shared" si="4"/>
        <v>47861190.310000002</v>
      </c>
      <c r="Y21" s="201">
        <f t="shared" si="5"/>
        <v>-13.896128738537769</v>
      </c>
      <c r="Z21" s="201">
        <f t="shared" si="6"/>
        <v>-42.171486777858568</v>
      </c>
      <c r="AA21" s="201">
        <f t="shared" si="6"/>
        <v>-39.220331527630805</v>
      </c>
    </row>
    <row r="22" spans="1:27" s="253" customFormat="1" ht="31.5" customHeight="1" x14ac:dyDescent="0.25">
      <c r="A22" s="269" t="s">
        <v>517</v>
      </c>
      <c r="B22" s="270">
        <v>2100400073</v>
      </c>
      <c r="C22" s="89">
        <v>4719895.5199999996</v>
      </c>
      <c r="D22" s="176">
        <v>224812.63</v>
      </c>
      <c r="E22" s="89"/>
      <c r="F22" s="176"/>
      <c r="G22" s="251">
        <f>SUM(C22:F22)</f>
        <v>4944708.1499999994</v>
      </c>
      <c r="H22" s="176">
        <v>979537</v>
      </c>
      <c r="I22" s="176">
        <v>84673</v>
      </c>
      <c r="J22" s="176">
        <f>428244.6-267324.22</f>
        <v>160920.38</v>
      </c>
      <c r="K22" s="176"/>
      <c r="L22" s="252">
        <f>SUM(H22:K22)</f>
        <v>1225130.3799999999</v>
      </c>
      <c r="M22" s="201">
        <f>G22+L22</f>
        <v>6169838.5299999993</v>
      </c>
      <c r="N22" s="201">
        <v>9404352.4700000007</v>
      </c>
      <c r="O22" s="201">
        <v>341220.28</v>
      </c>
      <c r="P22" s="92">
        <v>0</v>
      </c>
      <c r="Q22" s="201">
        <v>311634.02</v>
      </c>
      <c r="R22" s="201">
        <f t="shared" si="2"/>
        <v>10057206.77</v>
      </c>
      <c r="S22" s="201">
        <v>6399429.8300000001</v>
      </c>
      <c r="T22" s="201">
        <v>433286</v>
      </c>
      <c r="U22" s="176">
        <v>3900558.28</v>
      </c>
      <c r="V22" s="176">
        <v>0</v>
      </c>
      <c r="W22" s="201">
        <f t="shared" si="3"/>
        <v>10733274.109999999</v>
      </c>
      <c r="X22" s="201">
        <f t="shared" si="4"/>
        <v>20790480.879999999</v>
      </c>
      <c r="Y22" s="201">
        <f t="shared" si="5"/>
        <v>103.39333414450356</v>
      </c>
      <c r="Z22" s="201">
        <f t="shared" si="6"/>
        <v>776.0923967945356</v>
      </c>
      <c r="AA22" s="201">
        <f t="shared" si="6"/>
        <v>236.96961077521101</v>
      </c>
    </row>
    <row r="23" spans="1:27" s="253" customFormat="1" x14ac:dyDescent="0.25">
      <c r="A23" s="154" t="s">
        <v>518</v>
      </c>
      <c r="B23" s="250">
        <v>2100400013</v>
      </c>
      <c r="C23" s="176">
        <v>322238208.38</v>
      </c>
      <c r="D23" s="176">
        <v>89424820.590000004</v>
      </c>
      <c r="E23" s="176"/>
      <c r="F23" s="176">
        <v>2000000</v>
      </c>
      <c r="G23" s="251">
        <f t="shared" si="0"/>
        <v>413663028.97000003</v>
      </c>
      <c r="H23" s="176">
        <v>9081680.0700000003</v>
      </c>
      <c r="I23" s="89"/>
      <c r="J23" s="176">
        <v>416720357.89999998</v>
      </c>
      <c r="K23" s="176">
        <v>50504088.770000003</v>
      </c>
      <c r="L23" s="252">
        <f t="shared" ref="L23:L38" si="8">SUM(H23:K23)</f>
        <v>476306126.73999995</v>
      </c>
      <c r="M23" s="201">
        <f t="shared" si="7"/>
        <v>889969155.71000004</v>
      </c>
      <c r="N23" s="201">
        <v>320717634.11000001</v>
      </c>
      <c r="O23" s="201">
        <v>74367519.310000002</v>
      </c>
      <c r="P23" s="254">
        <v>0</v>
      </c>
      <c r="Q23" s="201">
        <v>0</v>
      </c>
      <c r="R23" s="201">
        <f t="shared" si="2"/>
        <v>395085153.42000002</v>
      </c>
      <c r="S23" s="201">
        <v>6364267.5800000001</v>
      </c>
      <c r="T23" s="201">
        <v>0</v>
      </c>
      <c r="U23" s="176">
        <f>411523695.3+9424031.56</f>
        <v>420947726.86000001</v>
      </c>
      <c r="V23" s="176">
        <v>41824977.109999999</v>
      </c>
      <c r="W23" s="201">
        <f t="shared" si="3"/>
        <v>469136971.55000001</v>
      </c>
      <c r="X23" s="201">
        <f t="shared" si="4"/>
        <v>864222124.97000003</v>
      </c>
      <c r="Y23" s="201">
        <f t="shared" si="5"/>
        <v>-4.4910650091834361</v>
      </c>
      <c r="Z23" s="201">
        <f t="shared" si="6"/>
        <v>-1.5051570381989539</v>
      </c>
      <c r="AA23" s="201">
        <f t="shared" si="6"/>
        <v>-2.8930250643865887</v>
      </c>
    </row>
    <row r="24" spans="1:27" s="253" customFormat="1" x14ac:dyDescent="0.25">
      <c r="A24" s="154" t="s">
        <v>519</v>
      </c>
      <c r="B24" s="250">
        <v>2100400014</v>
      </c>
      <c r="C24" s="176">
        <v>185946070.97</v>
      </c>
      <c r="D24" s="176">
        <v>34923819</v>
      </c>
      <c r="E24" s="176"/>
      <c r="F24" s="176">
        <v>400</v>
      </c>
      <c r="G24" s="251">
        <f t="shared" si="0"/>
        <v>220870289.97</v>
      </c>
      <c r="H24" s="176">
        <v>8090305.8799999999</v>
      </c>
      <c r="I24" s="176">
        <v>1919607.41</v>
      </c>
      <c r="J24" s="176">
        <v>113230437.63</v>
      </c>
      <c r="K24" s="176">
        <v>36627491.640000001</v>
      </c>
      <c r="L24" s="252">
        <f t="shared" si="8"/>
        <v>159867842.56</v>
      </c>
      <c r="M24" s="201">
        <f t="shared" si="7"/>
        <v>380738132.52999997</v>
      </c>
      <c r="N24" s="201">
        <v>177368878.80000001</v>
      </c>
      <c r="O24" s="201">
        <v>34622957.140000001</v>
      </c>
      <c r="P24" s="254">
        <v>0</v>
      </c>
      <c r="Q24" s="201">
        <v>120000</v>
      </c>
      <c r="R24" s="201">
        <f t="shared" si="2"/>
        <v>212111835.94</v>
      </c>
      <c r="S24" s="201">
        <v>4754875.3899999997</v>
      </c>
      <c r="T24" s="201">
        <v>1272931.8999999999</v>
      </c>
      <c r="U24" s="176">
        <v>110152273.95999999</v>
      </c>
      <c r="V24" s="176">
        <v>36067460.619999997</v>
      </c>
      <c r="W24" s="201">
        <f t="shared" si="3"/>
        <v>152247541.87</v>
      </c>
      <c r="X24" s="201">
        <f t="shared" si="4"/>
        <v>364359377.81</v>
      </c>
      <c r="Y24" s="201">
        <f t="shared" si="5"/>
        <v>-3.9654287732359252</v>
      </c>
      <c r="Z24" s="201">
        <f t="shared" si="6"/>
        <v>-4.766625087306112</v>
      </c>
      <c r="AA24" s="201">
        <f t="shared" si="6"/>
        <v>-4.3018424792818504</v>
      </c>
    </row>
    <row r="25" spans="1:27" s="253" customFormat="1" ht="31.5" x14ac:dyDescent="0.25">
      <c r="A25" s="154" t="s">
        <v>520</v>
      </c>
      <c r="B25" s="250">
        <v>2100400015</v>
      </c>
      <c r="C25" s="176">
        <v>62180226.399999999</v>
      </c>
      <c r="D25" s="176">
        <v>7305072.7800000003</v>
      </c>
      <c r="E25" s="176">
        <v>1471.24</v>
      </c>
      <c r="F25" s="89"/>
      <c r="G25" s="251">
        <f t="shared" si="0"/>
        <v>69486770.419999987</v>
      </c>
      <c r="H25" s="176">
        <v>5774523.3399999999</v>
      </c>
      <c r="I25" s="176">
        <v>995530.4</v>
      </c>
      <c r="J25" s="176">
        <v>22896600.52</v>
      </c>
      <c r="K25" s="176">
        <v>4285097</v>
      </c>
      <c r="L25" s="252">
        <f t="shared" si="8"/>
        <v>33951751.259999998</v>
      </c>
      <c r="M25" s="201">
        <f t="shared" si="7"/>
        <v>103438521.67999998</v>
      </c>
      <c r="N25" s="201">
        <v>63242504.609999999</v>
      </c>
      <c r="O25" s="201">
        <v>7161535.2199999997</v>
      </c>
      <c r="P25" s="254">
        <v>0</v>
      </c>
      <c r="Q25" s="201">
        <v>36000</v>
      </c>
      <c r="R25" s="201">
        <f t="shared" si="2"/>
        <v>70440039.829999998</v>
      </c>
      <c r="S25" s="201">
        <v>4458521.95</v>
      </c>
      <c r="T25" s="201">
        <v>652216.4</v>
      </c>
      <c r="U25" s="176">
        <v>15288930.869999999</v>
      </c>
      <c r="V25" s="176">
        <v>3255268</v>
      </c>
      <c r="W25" s="201">
        <f t="shared" si="3"/>
        <v>23654937.219999999</v>
      </c>
      <c r="X25" s="201">
        <f t="shared" si="4"/>
        <v>94094977.049999997</v>
      </c>
      <c r="Y25" s="201">
        <f t="shared" si="5"/>
        <v>1.3718718027016508</v>
      </c>
      <c r="Z25" s="201">
        <f t="shared" si="6"/>
        <v>-30.32778474708936</v>
      </c>
      <c r="AA25" s="201">
        <f t="shared" si="6"/>
        <v>-9.0329448625584625</v>
      </c>
    </row>
    <row r="26" spans="1:27" s="253" customFormat="1" ht="31.5" x14ac:dyDescent="0.25">
      <c r="A26" s="154" t="s">
        <v>521</v>
      </c>
      <c r="B26" s="250">
        <v>2100400042</v>
      </c>
      <c r="C26" s="176">
        <v>146252762.91</v>
      </c>
      <c r="D26" s="176">
        <f>10731498.74+6009.82</f>
        <v>10737508.560000001</v>
      </c>
      <c r="E26" s="176">
        <v>1</v>
      </c>
      <c r="F26" s="176"/>
      <c r="G26" s="251">
        <f t="shared" si="0"/>
        <v>156990272.47</v>
      </c>
      <c r="H26" s="176">
        <v>4497400</v>
      </c>
      <c r="I26" s="176">
        <f>6960932.52+737215</f>
        <v>7698147.5199999996</v>
      </c>
      <c r="J26" s="176">
        <f>34431573.58+643840.29</f>
        <v>35075413.869999997</v>
      </c>
      <c r="K26" s="176">
        <v>26350197</v>
      </c>
      <c r="L26" s="252">
        <f t="shared" si="8"/>
        <v>73621158.390000001</v>
      </c>
      <c r="M26" s="201">
        <f t="shared" si="7"/>
        <v>230611430.86000001</v>
      </c>
      <c r="N26" s="201">
        <v>143191332.61000001</v>
      </c>
      <c r="O26" s="201">
        <v>9621267.5500000007</v>
      </c>
      <c r="P26" s="254">
        <v>59579.46</v>
      </c>
      <c r="Q26" s="201">
        <v>0</v>
      </c>
      <c r="R26" s="201">
        <f t="shared" si="2"/>
        <v>152872179.62000003</v>
      </c>
      <c r="S26" s="201">
        <v>3823693.57</v>
      </c>
      <c r="T26" s="201">
        <v>8176424.8099999996</v>
      </c>
      <c r="U26" s="176">
        <v>34664658.100000001</v>
      </c>
      <c r="V26" s="176">
        <v>25751626</v>
      </c>
      <c r="W26" s="201">
        <f t="shared" si="3"/>
        <v>72416402.480000004</v>
      </c>
      <c r="X26" s="201">
        <f t="shared" si="4"/>
        <v>225288582.10000002</v>
      </c>
      <c r="Y26" s="201">
        <f t="shared" si="5"/>
        <v>-2.6231516037319507</v>
      </c>
      <c r="Z26" s="201">
        <f t="shared" si="6"/>
        <v>-1.6364261801178601</v>
      </c>
      <c r="AA26" s="201">
        <f t="shared" si="6"/>
        <v>-2.3081461053989965</v>
      </c>
    </row>
    <row r="27" spans="1:27" s="253" customFormat="1" ht="31.5" x14ac:dyDescent="0.25">
      <c r="A27" s="154" t="s">
        <v>522</v>
      </c>
      <c r="B27" s="250">
        <v>2100400039</v>
      </c>
      <c r="C27" s="176">
        <v>101160433.29000001</v>
      </c>
      <c r="D27" s="176">
        <v>10496151.27</v>
      </c>
      <c r="E27" s="176"/>
      <c r="F27" s="176"/>
      <c r="G27" s="251">
        <f t="shared" si="0"/>
        <v>111656584.56</v>
      </c>
      <c r="H27" s="176">
        <v>5129852</v>
      </c>
      <c r="I27" s="176">
        <v>5234257.18</v>
      </c>
      <c r="J27" s="176">
        <v>29650056.130000003</v>
      </c>
      <c r="K27" s="176">
        <v>10984792</v>
      </c>
      <c r="L27" s="252">
        <f t="shared" si="8"/>
        <v>50998957.310000002</v>
      </c>
      <c r="M27" s="201">
        <f t="shared" si="7"/>
        <v>162655541.87</v>
      </c>
      <c r="N27" s="201">
        <v>105185688.56</v>
      </c>
      <c r="O27" s="201">
        <v>10252476.720000001</v>
      </c>
      <c r="P27" s="254">
        <v>0</v>
      </c>
      <c r="Q27" s="201">
        <v>0</v>
      </c>
      <c r="R27" s="201">
        <f t="shared" si="2"/>
        <v>115438165.28</v>
      </c>
      <c r="S27" s="201">
        <v>2919506.5</v>
      </c>
      <c r="T27" s="201">
        <v>5352006.41</v>
      </c>
      <c r="U27" s="176">
        <v>26146794.879999999</v>
      </c>
      <c r="V27" s="176">
        <v>10763477</v>
      </c>
      <c r="W27" s="201">
        <f t="shared" si="3"/>
        <v>45181784.789999999</v>
      </c>
      <c r="X27" s="201">
        <f t="shared" si="4"/>
        <v>160619950.06999999</v>
      </c>
      <c r="Y27" s="201">
        <f t="shared" si="5"/>
        <v>3.3867959824330121</v>
      </c>
      <c r="Z27" s="201">
        <f t="shared" si="6"/>
        <v>-11.406453831281286</v>
      </c>
      <c r="AA27" s="201">
        <f t="shared" si="6"/>
        <v>-1.2514739901250509</v>
      </c>
    </row>
    <row r="28" spans="1:27" s="253" customFormat="1" ht="31.5" x14ac:dyDescent="0.25">
      <c r="A28" s="154" t="s">
        <v>523</v>
      </c>
      <c r="B28" s="250">
        <v>2100400036</v>
      </c>
      <c r="C28" s="176">
        <v>55303102.07</v>
      </c>
      <c r="D28" s="176">
        <v>6703544.9000000004</v>
      </c>
      <c r="E28" s="176"/>
      <c r="F28" s="176"/>
      <c r="G28" s="251">
        <f t="shared" si="0"/>
        <v>62006646.969999999</v>
      </c>
      <c r="H28" s="176">
        <v>5241549.7</v>
      </c>
      <c r="I28" s="176">
        <v>2175910.4500000002</v>
      </c>
      <c r="J28" s="176">
        <v>14268351.35</v>
      </c>
      <c r="K28" s="176">
        <v>10445360.99</v>
      </c>
      <c r="L28" s="252">
        <f t="shared" si="8"/>
        <v>32131172.490000002</v>
      </c>
      <c r="M28" s="201">
        <f t="shared" si="7"/>
        <v>94137819.460000008</v>
      </c>
      <c r="N28" s="201">
        <v>59106916.020000003</v>
      </c>
      <c r="O28" s="201">
        <v>5863190.9800000004</v>
      </c>
      <c r="P28" s="254">
        <v>0</v>
      </c>
      <c r="Q28" s="201">
        <v>0</v>
      </c>
      <c r="R28" s="201">
        <f t="shared" si="2"/>
        <v>64970107</v>
      </c>
      <c r="S28" s="201">
        <v>4727771.5</v>
      </c>
      <c r="T28" s="201">
        <v>2429666.1</v>
      </c>
      <c r="U28" s="176">
        <v>11941947.65</v>
      </c>
      <c r="V28" s="176">
        <v>10788329.189999999</v>
      </c>
      <c r="W28" s="201">
        <f t="shared" si="3"/>
        <v>29887714.439999998</v>
      </c>
      <c r="X28" s="201">
        <f t="shared" si="4"/>
        <v>94857821.439999998</v>
      </c>
      <c r="Y28" s="201">
        <f t="shared" si="5"/>
        <v>4.7792618611255975</v>
      </c>
      <c r="Z28" s="201">
        <f t="shared" si="6"/>
        <v>-6.9821854484090897</v>
      </c>
      <c r="AA28" s="201">
        <f t="shared" si="6"/>
        <v>0.76483817463599146</v>
      </c>
    </row>
    <row r="29" spans="1:27" s="253" customFormat="1" ht="31.5" x14ac:dyDescent="0.25">
      <c r="A29" s="154" t="s">
        <v>524</v>
      </c>
      <c r="B29" s="250">
        <v>2100400016</v>
      </c>
      <c r="C29" s="176">
        <f>60130101.67</f>
        <v>60130101.670000002</v>
      </c>
      <c r="D29" s="176">
        <f>6124339.4</f>
        <v>6124339.4000000004</v>
      </c>
      <c r="E29" s="176"/>
      <c r="F29" s="176"/>
      <c r="G29" s="251">
        <f t="shared" si="0"/>
        <v>66254441.07</v>
      </c>
      <c r="H29" s="176">
        <f>6115385.18</f>
        <v>6115385.1799999997</v>
      </c>
      <c r="I29" s="176">
        <f>1621517.17</f>
        <v>1621517.17</v>
      </c>
      <c r="J29" s="176">
        <f>12694847.55</f>
        <v>12694847.550000001</v>
      </c>
      <c r="K29" s="176">
        <v>5193984.34</v>
      </c>
      <c r="L29" s="252">
        <f t="shared" si="8"/>
        <v>25625734.239999998</v>
      </c>
      <c r="M29" s="201">
        <f t="shared" si="7"/>
        <v>91880175.310000002</v>
      </c>
      <c r="N29" s="201">
        <v>62766875.640000001</v>
      </c>
      <c r="O29" s="201">
        <v>5850077.3399999999</v>
      </c>
      <c r="P29" s="254">
        <v>0</v>
      </c>
      <c r="Q29" s="201">
        <v>0</v>
      </c>
      <c r="R29" s="201">
        <f t="shared" si="2"/>
        <v>68616952.980000004</v>
      </c>
      <c r="S29" s="201">
        <v>5324927.03</v>
      </c>
      <c r="T29" s="201">
        <v>2080174.8</v>
      </c>
      <c r="U29" s="176">
        <v>12414539.630000001</v>
      </c>
      <c r="V29" s="176">
        <v>5411940.2199999997</v>
      </c>
      <c r="W29" s="201">
        <f t="shared" si="3"/>
        <v>25231581.68</v>
      </c>
      <c r="X29" s="201">
        <f t="shared" si="4"/>
        <v>93848534.659999996</v>
      </c>
      <c r="Y29" s="201">
        <f t="shared" si="5"/>
        <v>3.565816678619222</v>
      </c>
      <c r="Z29" s="201">
        <f t="shared" si="6"/>
        <v>-1.5381122597640686</v>
      </c>
      <c r="AA29" s="201">
        <f t="shared" si="6"/>
        <v>2.1423112693884496</v>
      </c>
    </row>
    <row r="30" spans="1:27" s="253" customFormat="1" ht="31.5" x14ac:dyDescent="0.25">
      <c r="A30" s="154" t="s">
        <v>525</v>
      </c>
      <c r="B30" s="250">
        <v>2100400022</v>
      </c>
      <c r="C30" s="176">
        <f>87466810.01</f>
        <v>87466810.010000005</v>
      </c>
      <c r="D30" s="176">
        <f>6607590.11+1184717.93+855057.67</f>
        <v>8647365.7100000009</v>
      </c>
      <c r="E30" s="176">
        <v>1</v>
      </c>
      <c r="F30" s="176"/>
      <c r="G30" s="251">
        <f t="shared" si="0"/>
        <v>96114176.719999999</v>
      </c>
      <c r="H30" s="176">
        <f>8301959+14000</f>
        <v>8315959</v>
      </c>
      <c r="I30" s="176">
        <f>4602254.31+436010.43+361563</f>
        <v>5399827.7399999993</v>
      </c>
      <c r="J30" s="176">
        <f>41243350.62+1770429.57+584245.36</f>
        <v>43598025.549999997</v>
      </c>
      <c r="K30" s="176">
        <v>4828285</v>
      </c>
      <c r="L30" s="252">
        <f t="shared" si="8"/>
        <v>62142097.289999992</v>
      </c>
      <c r="M30" s="201">
        <f t="shared" si="7"/>
        <v>158256274.00999999</v>
      </c>
      <c r="N30" s="201">
        <v>89926225.170000002</v>
      </c>
      <c r="O30" s="201">
        <v>7802432.3800000008</v>
      </c>
      <c r="P30" s="254">
        <v>14</v>
      </c>
      <c r="Q30" s="201">
        <v>0</v>
      </c>
      <c r="R30" s="201">
        <f t="shared" si="2"/>
        <v>97728671.549999997</v>
      </c>
      <c r="S30" s="201">
        <v>5198093.95</v>
      </c>
      <c r="T30" s="201">
        <v>5548720.1100000003</v>
      </c>
      <c r="U30" s="176">
        <v>47123836.25</v>
      </c>
      <c r="V30" s="176">
        <v>5160072</v>
      </c>
      <c r="W30" s="201">
        <f t="shared" si="3"/>
        <v>63030722.310000002</v>
      </c>
      <c r="X30" s="201">
        <f t="shared" si="4"/>
        <v>160759393.86000001</v>
      </c>
      <c r="Y30" s="201">
        <f t="shared" si="5"/>
        <v>1.679767631681794</v>
      </c>
      <c r="Z30" s="201">
        <f t="shared" si="6"/>
        <v>1.4299887817642256</v>
      </c>
      <c r="AA30" s="201">
        <f t="shared" si="6"/>
        <v>1.5816875922668665</v>
      </c>
    </row>
    <row r="31" spans="1:27" s="253" customFormat="1" ht="31.5" x14ac:dyDescent="0.25">
      <c r="A31" s="154" t="s">
        <v>526</v>
      </c>
      <c r="B31" s="250">
        <v>2100400017</v>
      </c>
      <c r="C31" s="176">
        <v>101193402.23</v>
      </c>
      <c r="D31" s="176">
        <v>10382628.300000001</v>
      </c>
      <c r="E31" s="176"/>
      <c r="F31" s="176"/>
      <c r="G31" s="251">
        <f t="shared" si="0"/>
        <v>111576030.53</v>
      </c>
      <c r="H31" s="176">
        <v>7372008</v>
      </c>
      <c r="I31" s="176">
        <v>5572005.8100000005</v>
      </c>
      <c r="J31" s="176">
        <v>26519330.920000002</v>
      </c>
      <c r="K31" s="176">
        <v>26503019</v>
      </c>
      <c r="L31" s="252">
        <f t="shared" si="8"/>
        <v>65966363.730000004</v>
      </c>
      <c r="M31" s="201">
        <f>G31+L31</f>
        <v>177542394.25999999</v>
      </c>
      <c r="N31" s="201">
        <v>103767811.44</v>
      </c>
      <c r="O31" s="201">
        <v>9855163.129999999</v>
      </c>
      <c r="P31" s="254">
        <v>17</v>
      </c>
      <c r="Q31" s="201">
        <v>0</v>
      </c>
      <c r="R31" s="201">
        <f t="shared" si="2"/>
        <v>113622991.56999999</v>
      </c>
      <c r="S31" s="201">
        <v>5611006</v>
      </c>
      <c r="T31" s="201">
        <v>5266972.74</v>
      </c>
      <c r="U31" s="176">
        <v>23075864.210000001</v>
      </c>
      <c r="V31" s="176">
        <v>25945381.32</v>
      </c>
      <c r="W31" s="201">
        <f t="shared" si="3"/>
        <v>59899224.270000003</v>
      </c>
      <c r="X31" s="201">
        <f t="shared" si="4"/>
        <v>173522215.84</v>
      </c>
      <c r="Y31" s="201">
        <f t="shared" si="5"/>
        <v>1.8345885135693325</v>
      </c>
      <c r="Z31" s="201">
        <f t="shared" si="6"/>
        <v>-9.1973228732642784</v>
      </c>
      <c r="AA31" s="201">
        <f t="shared" si="6"/>
        <v>-2.2643484316836919</v>
      </c>
    </row>
    <row r="32" spans="1:27" s="253" customFormat="1" ht="31.5" x14ac:dyDescent="0.25">
      <c r="A32" s="154" t="s">
        <v>527</v>
      </c>
      <c r="B32" s="250">
        <v>2100400030</v>
      </c>
      <c r="C32" s="176">
        <v>97269589.730000004</v>
      </c>
      <c r="D32" s="176">
        <v>10932109.26</v>
      </c>
      <c r="E32" s="89"/>
      <c r="F32" s="176"/>
      <c r="G32" s="251">
        <f t="shared" si="0"/>
        <v>108201698.99000001</v>
      </c>
      <c r="H32" s="176">
        <v>4384200.8099999996</v>
      </c>
      <c r="I32" s="176">
        <v>3714456.49</v>
      </c>
      <c r="J32" s="176">
        <v>50222541.450000003</v>
      </c>
      <c r="K32" s="176">
        <v>42797825</v>
      </c>
      <c r="L32" s="252">
        <f t="shared" si="8"/>
        <v>101119023.75</v>
      </c>
      <c r="M32" s="201">
        <f t="shared" si="7"/>
        <v>209320722.74000001</v>
      </c>
      <c r="N32" s="201">
        <v>106960596.14</v>
      </c>
      <c r="O32" s="201">
        <v>10226730.189999999</v>
      </c>
      <c r="P32" s="92">
        <v>29159.53</v>
      </c>
      <c r="Q32" s="201">
        <v>0</v>
      </c>
      <c r="R32" s="201">
        <f t="shared" si="2"/>
        <v>117216485.86</v>
      </c>
      <c r="S32" s="201">
        <v>4012689.24</v>
      </c>
      <c r="T32" s="201">
        <v>3643706.25</v>
      </c>
      <c r="U32" s="176">
        <v>46681803.460000001</v>
      </c>
      <c r="V32" s="176">
        <v>41538282</v>
      </c>
      <c r="W32" s="201">
        <f t="shared" si="3"/>
        <v>95876480.950000003</v>
      </c>
      <c r="X32" s="201">
        <f t="shared" si="4"/>
        <v>213092966.81</v>
      </c>
      <c r="Y32" s="201">
        <f t="shared" si="5"/>
        <v>8.331465174898165</v>
      </c>
      <c r="Z32" s="201">
        <f t="shared" si="6"/>
        <v>-5.1845267147369949</v>
      </c>
      <c r="AA32" s="201">
        <f t="shared" si="6"/>
        <v>1.8021359856881185</v>
      </c>
    </row>
    <row r="33" spans="1:27" s="152" customFormat="1" ht="31.5" x14ac:dyDescent="0.2">
      <c r="A33" s="154" t="s">
        <v>528</v>
      </c>
      <c r="B33" s="250">
        <v>2100400031</v>
      </c>
      <c r="C33" s="176">
        <v>47528991.25</v>
      </c>
      <c r="D33" s="176">
        <v>2895411.62</v>
      </c>
      <c r="E33" s="181"/>
      <c r="F33" s="176">
        <v>99270</v>
      </c>
      <c r="G33" s="251">
        <f t="shared" si="0"/>
        <v>50523672.869999997</v>
      </c>
      <c r="H33" s="176">
        <v>7176988.5</v>
      </c>
      <c r="I33" s="176">
        <v>3608465.85</v>
      </c>
      <c r="J33" s="176">
        <f>5509996.49+[1]สมบูรณ์!$E$1601+[1]สมบูรณ์!$E$1632</f>
        <v>6105885.8600000003</v>
      </c>
      <c r="K33" s="176">
        <v>4543360</v>
      </c>
      <c r="L33" s="252">
        <f t="shared" si="8"/>
        <v>21434700.210000001</v>
      </c>
      <c r="M33" s="201">
        <f t="shared" si="7"/>
        <v>71958373.079999998</v>
      </c>
      <c r="N33" s="201">
        <v>47488699.509999998</v>
      </c>
      <c r="O33" s="201">
        <v>3018881.29</v>
      </c>
      <c r="P33" s="182">
        <v>0</v>
      </c>
      <c r="Q33" s="201">
        <v>11360</v>
      </c>
      <c r="R33" s="201">
        <f t="shared" si="2"/>
        <v>50518940.799999997</v>
      </c>
      <c r="S33" s="201">
        <v>4347293</v>
      </c>
      <c r="T33" s="201">
        <v>3934987.9</v>
      </c>
      <c r="U33" s="176">
        <v>7403084.8900000006</v>
      </c>
      <c r="V33" s="176">
        <v>5352093.25</v>
      </c>
      <c r="W33" s="201">
        <f t="shared" si="3"/>
        <v>21037459.039999999</v>
      </c>
      <c r="X33" s="201">
        <f t="shared" si="4"/>
        <v>71556399.840000004</v>
      </c>
      <c r="Y33" s="201">
        <f t="shared" si="5"/>
        <v>-9.3660451253735188E-3</v>
      </c>
      <c r="Z33" s="201">
        <f t="shared" si="6"/>
        <v>-1.8532620755510991</v>
      </c>
      <c r="AA33" s="201">
        <f t="shared" si="6"/>
        <v>-0.55861913324957935</v>
      </c>
    </row>
    <row r="34" spans="1:27" s="253" customFormat="1" ht="31.5" x14ac:dyDescent="0.25">
      <c r="A34" s="154" t="s">
        <v>529</v>
      </c>
      <c r="B34" s="250">
        <v>2100400026</v>
      </c>
      <c r="C34" s="176">
        <v>95870095.480000004</v>
      </c>
      <c r="D34" s="176">
        <v>7175041.1400000006</v>
      </c>
      <c r="E34" s="176"/>
      <c r="F34" s="176">
        <v>142.15</v>
      </c>
      <c r="G34" s="251">
        <f t="shared" si="0"/>
        <v>103045278.77000001</v>
      </c>
      <c r="H34" s="176">
        <v>7563128</v>
      </c>
      <c r="I34" s="176">
        <v>5570051</v>
      </c>
      <c r="J34" s="176">
        <v>14680943.300000001</v>
      </c>
      <c r="K34" s="176">
        <v>14029126</v>
      </c>
      <c r="L34" s="252">
        <f t="shared" si="8"/>
        <v>41843248.299999997</v>
      </c>
      <c r="M34" s="201">
        <f t="shared" si="7"/>
        <v>144888527.06999999</v>
      </c>
      <c r="N34" s="201">
        <v>92744129.5</v>
      </c>
      <c r="O34" s="201">
        <v>7198564.540000001</v>
      </c>
      <c r="P34" s="254">
        <v>0</v>
      </c>
      <c r="Q34" s="201">
        <v>17987</v>
      </c>
      <c r="R34" s="201">
        <f t="shared" si="2"/>
        <v>99960681.040000007</v>
      </c>
      <c r="S34" s="201">
        <v>5988472</v>
      </c>
      <c r="T34" s="201">
        <v>5769646.7400000002</v>
      </c>
      <c r="U34" s="176">
        <v>12713195.58</v>
      </c>
      <c r="V34" s="176">
        <v>14013918</v>
      </c>
      <c r="W34" s="201">
        <f t="shared" si="3"/>
        <v>38485232.32</v>
      </c>
      <c r="X34" s="201">
        <f t="shared" si="4"/>
        <v>138445913.36000001</v>
      </c>
      <c r="Y34" s="201">
        <f t="shared" si="5"/>
        <v>-2.9934391626858652</v>
      </c>
      <c r="Z34" s="201">
        <f t="shared" si="6"/>
        <v>-8.0252277641647556</v>
      </c>
      <c r="AA34" s="201">
        <f t="shared" si="6"/>
        <v>-4.4466003211471383</v>
      </c>
    </row>
    <row r="35" spans="1:27" s="253" customFormat="1" ht="31.5" x14ac:dyDescent="0.25">
      <c r="A35" s="154" t="s">
        <v>530</v>
      </c>
      <c r="B35" s="250">
        <v>2100400034</v>
      </c>
      <c r="C35" s="176">
        <v>92348065.319999993</v>
      </c>
      <c r="D35" s="176">
        <f>10322161.01+176060.56</f>
        <v>10498221.57</v>
      </c>
      <c r="E35" s="176"/>
      <c r="F35" s="176"/>
      <c r="G35" s="251">
        <f t="shared" si="0"/>
        <v>102846286.88999999</v>
      </c>
      <c r="H35" s="176">
        <v>11816046</v>
      </c>
      <c r="I35" s="176">
        <f>3039639+483230</f>
        <v>3522869</v>
      </c>
      <c r="J35" s="176">
        <f>34376188.22+130884</f>
        <v>34507072.219999999</v>
      </c>
      <c r="K35" s="176">
        <v>10786025</v>
      </c>
      <c r="L35" s="252">
        <f t="shared" si="8"/>
        <v>60632012.219999999</v>
      </c>
      <c r="M35" s="201">
        <f t="shared" si="7"/>
        <v>163478299.10999998</v>
      </c>
      <c r="N35" s="201">
        <v>93535846.200000003</v>
      </c>
      <c r="O35" s="201">
        <v>10960989.84</v>
      </c>
      <c r="P35" s="254">
        <v>0</v>
      </c>
      <c r="Q35" s="201">
        <v>0</v>
      </c>
      <c r="R35" s="201">
        <f t="shared" si="2"/>
        <v>104496836.04000001</v>
      </c>
      <c r="S35" s="201">
        <v>9670087.5999999996</v>
      </c>
      <c r="T35" s="201">
        <v>4224514.84</v>
      </c>
      <c r="U35" s="176">
        <v>49349045.549999997</v>
      </c>
      <c r="V35" s="176">
        <v>11049748</v>
      </c>
      <c r="W35" s="201">
        <f t="shared" si="3"/>
        <v>74293395.989999995</v>
      </c>
      <c r="X35" s="201">
        <f t="shared" si="4"/>
        <v>178790232.03</v>
      </c>
      <c r="Y35" s="201">
        <f t="shared" si="5"/>
        <v>1.6048699470943253</v>
      </c>
      <c r="Z35" s="201">
        <f t="shared" si="6"/>
        <v>22.531635137607505</v>
      </c>
      <c r="AA35" s="201">
        <f t="shared" si="6"/>
        <v>9.3663397547934135</v>
      </c>
    </row>
    <row r="36" spans="1:27" s="253" customFormat="1" ht="31.5" x14ac:dyDescent="0.25">
      <c r="A36" s="154" t="s">
        <v>531</v>
      </c>
      <c r="B36" s="250">
        <v>2100400046</v>
      </c>
      <c r="C36" s="176">
        <v>114157685.31</v>
      </c>
      <c r="D36" s="176">
        <v>10377000.920000002</v>
      </c>
      <c r="E36" s="176">
        <v>22808.33</v>
      </c>
      <c r="F36" s="176">
        <v>6500</v>
      </c>
      <c r="G36" s="251">
        <f t="shared" si="0"/>
        <v>124563994.56</v>
      </c>
      <c r="H36" s="176">
        <v>11100844.16</v>
      </c>
      <c r="I36" s="176">
        <v>4883957.12</v>
      </c>
      <c r="J36" s="176">
        <v>38953993.220000006</v>
      </c>
      <c r="K36" s="268">
        <v>10754848.23</v>
      </c>
      <c r="L36" s="252">
        <f t="shared" si="8"/>
        <v>65693642.730000004</v>
      </c>
      <c r="M36" s="201">
        <f t="shared" si="7"/>
        <v>190257637.29000002</v>
      </c>
      <c r="N36" s="201">
        <v>111387437.86</v>
      </c>
      <c r="O36" s="201">
        <v>7669697.6099999994</v>
      </c>
      <c r="P36" s="254">
        <v>31262.15</v>
      </c>
      <c r="Q36" s="201">
        <v>0</v>
      </c>
      <c r="R36" s="201">
        <f t="shared" si="2"/>
        <v>119088397.62</v>
      </c>
      <c r="S36" s="201">
        <v>8707587.4199999999</v>
      </c>
      <c r="T36" s="201">
        <v>4003951.71</v>
      </c>
      <c r="U36" s="176">
        <v>34794377.520000003</v>
      </c>
      <c r="V36" s="268">
        <v>10655727</v>
      </c>
      <c r="W36" s="201">
        <f t="shared" si="3"/>
        <v>58161643.650000006</v>
      </c>
      <c r="X36" s="201">
        <f t="shared" si="4"/>
        <v>177250041.27000001</v>
      </c>
      <c r="Y36" s="201">
        <f t="shared" si="5"/>
        <v>-4.3958103297357818</v>
      </c>
      <c r="Z36" s="201">
        <f t="shared" si="6"/>
        <v>-11.465339364657268</v>
      </c>
      <c r="AA36" s="201">
        <f t="shared" si="6"/>
        <v>-6.8368325210373531</v>
      </c>
    </row>
    <row r="37" spans="1:27" s="253" customFormat="1" ht="31.5" x14ac:dyDescent="0.25">
      <c r="A37" s="154" t="s">
        <v>532</v>
      </c>
      <c r="B37" s="250">
        <v>2100400051</v>
      </c>
      <c r="C37" s="176">
        <v>113618909.18000001</v>
      </c>
      <c r="D37" s="176">
        <v>13577144.220000001</v>
      </c>
      <c r="E37" s="176">
        <v>9254.0400000000009</v>
      </c>
      <c r="F37" s="176"/>
      <c r="G37" s="251">
        <f t="shared" si="0"/>
        <v>127205307.44000001</v>
      </c>
      <c r="H37" s="176">
        <v>6200059.0800000001</v>
      </c>
      <c r="I37" s="176">
        <v>6928086.2400000002</v>
      </c>
      <c r="J37" s="176">
        <v>32783620.379999999</v>
      </c>
      <c r="K37" s="176">
        <v>8820266.5099999998</v>
      </c>
      <c r="L37" s="252">
        <f t="shared" si="8"/>
        <v>54732032.210000001</v>
      </c>
      <c r="M37" s="201">
        <f t="shared" si="7"/>
        <v>181937339.65000001</v>
      </c>
      <c r="N37" s="201">
        <v>112363516.33</v>
      </c>
      <c r="O37" s="201">
        <v>12897452.529999999</v>
      </c>
      <c r="P37" s="254">
        <v>12014.32</v>
      </c>
      <c r="Q37" s="201">
        <v>0</v>
      </c>
      <c r="R37" s="201">
        <f t="shared" si="2"/>
        <v>125272983.17999999</v>
      </c>
      <c r="S37" s="201">
        <v>4636958</v>
      </c>
      <c r="T37" s="201">
        <v>5919519.2599999998</v>
      </c>
      <c r="U37" s="176">
        <v>37206518.840000004</v>
      </c>
      <c r="V37" s="176">
        <v>9254979</v>
      </c>
      <c r="W37" s="201">
        <f t="shared" si="3"/>
        <v>57017975.100000001</v>
      </c>
      <c r="X37" s="201">
        <f t="shared" si="4"/>
        <v>182290958.28</v>
      </c>
      <c r="Y37" s="201">
        <f t="shared" si="5"/>
        <v>-1.5190594629170293</v>
      </c>
      <c r="Z37" s="201">
        <f t="shared" si="6"/>
        <v>4.1766088297783677</v>
      </c>
      <c r="AA37" s="201">
        <f t="shared" si="6"/>
        <v>0.1943628672818154</v>
      </c>
    </row>
    <row r="38" spans="1:27" s="253" customFormat="1" ht="37.5" customHeight="1" x14ac:dyDescent="0.25">
      <c r="A38" s="154" t="s">
        <v>533</v>
      </c>
      <c r="B38" s="250">
        <v>2100400060</v>
      </c>
      <c r="C38" s="271">
        <v>26204</v>
      </c>
      <c r="D38" s="176">
        <v>15084.56</v>
      </c>
      <c r="E38" s="176"/>
      <c r="F38" s="176"/>
      <c r="G38" s="251">
        <f t="shared" si="0"/>
        <v>41288.559999999998</v>
      </c>
      <c r="H38" s="256">
        <v>2310547</v>
      </c>
      <c r="I38" s="256">
        <v>389056</v>
      </c>
      <c r="J38" s="256">
        <v>4723708.1900000004</v>
      </c>
      <c r="K38" s="176"/>
      <c r="L38" s="252">
        <f t="shared" si="8"/>
        <v>7423311.1900000004</v>
      </c>
      <c r="M38" s="201">
        <f t="shared" si="7"/>
        <v>7464599.75</v>
      </c>
      <c r="N38" s="201">
        <v>10445</v>
      </c>
      <c r="O38" s="201">
        <v>15385.38</v>
      </c>
      <c r="P38" s="254">
        <v>0</v>
      </c>
      <c r="Q38" s="201">
        <v>0</v>
      </c>
      <c r="R38" s="201">
        <f t="shared" si="2"/>
        <v>25830.379999999997</v>
      </c>
      <c r="S38" s="201">
        <v>2535934</v>
      </c>
      <c r="T38" s="201">
        <v>509406</v>
      </c>
      <c r="U38" s="256">
        <v>3912250.25</v>
      </c>
      <c r="V38" s="176">
        <v>0</v>
      </c>
      <c r="W38" s="201">
        <f t="shared" si="3"/>
        <v>6957590.25</v>
      </c>
      <c r="X38" s="201">
        <f t="shared" si="4"/>
        <v>6983420.6299999999</v>
      </c>
      <c r="Y38" s="201">
        <f t="shared" si="5"/>
        <v>-37.439377880943297</v>
      </c>
      <c r="Z38" s="201">
        <f t="shared" si="6"/>
        <v>-6.2737628543361703</v>
      </c>
      <c r="AA38" s="201">
        <f t="shared" si="6"/>
        <v>-6.4461476316931803</v>
      </c>
    </row>
    <row r="39" spans="1:27" s="249" customFormat="1" ht="36" customHeight="1" x14ac:dyDescent="0.35">
      <c r="A39" s="331" t="s">
        <v>534</v>
      </c>
      <c r="B39" s="332"/>
      <c r="C39" s="257"/>
      <c r="D39" s="257"/>
      <c r="E39" s="257"/>
      <c r="F39" s="257"/>
      <c r="G39" s="258"/>
      <c r="H39" s="257"/>
      <c r="I39" s="257"/>
      <c r="J39" s="257"/>
      <c r="K39" s="257"/>
      <c r="L39" s="259"/>
      <c r="M39" s="260"/>
      <c r="N39" s="260"/>
      <c r="O39" s="260"/>
      <c r="P39" s="272"/>
      <c r="Q39" s="260"/>
      <c r="R39" s="201">
        <f t="shared" si="2"/>
        <v>0</v>
      </c>
      <c r="S39" s="260"/>
      <c r="T39" s="260"/>
      <c r="U39" s="257"/>
      <c r="V39" s="257"/>
      <c r="W39" s="257"/>
      <c r="X39" s="257"/>
      <c r="Y39" s="257"/>
      <c r="Z39" s="257"/>
      <c r="AA39" s="257"/>
    </row>
    <row r="40" spans="1:27" s="253" customFormat="1" x14ac:dyDescent="0.25">
      <c r="A40" s="154" t="s">
        <v>535</v>
      </c>
      <c r="B40" s="250">
        <v>2100400000</v>
      </c>
      <c r="C40" s="89">
        <v>13062915.68</v>
      </c>
      <c r="D40" s="176">
        <f>417280.38968254-243682.54</f>
        <v>173597.84968253996</v>
      </c>
      <c r="E40" s="176"/>
      <c r="F40" s="176"/>
      <c r="G40" s="251">
        <f t="shared" si="0"/>
        <v>13236513.529682539</v>
      </c>
      <c r="H40" s="176"/>
      <c r="I40" s="176"/>
      <c r="J40" s="176">
        <f>39959453.15-300739.75</f>
        <v>39658713.399999999</v>
      </c>
      <c r="K40" s="176"/>
      <c r="L40" s="252">
        <f>SUM(H40:K40)</f>
        <v>39658713.399999999</v>
      </c>
      <c r="M40" s="201">
        <f t="shared" ref="M40:M47" si="9">G40+L40</f>
        <v>52895226.929682538</v>
      </c>
      <c r="N40" s="201">
        <v>10496862.18</v>
      </c>
      <c r="O40" s="201">
        <v>166879.29999999999</v>
      </c>
      <c r="P40" s="254">
        <v>0</v>
      </c>
      <c r="Q40" s="201">
        <v>0</v>
      </c>
      <c r="R40" s="201">
        <f t="shared" si="2"/>
        <v>10663741.48</v>
      </c>
      <c r="S40" s="201">
        <v>1220000</v>
      </c>
      <c r="T40" s="201">
        <v>0</v>
      </c>
      <c r="U40" s="176">
        <f>2583851.03-6-0.04</f>
        <v>2583844.9899999998</v>
      </c>
      <c r="V40" s="176">
        <v>0</v>
      </c>
      <c r="W40" s="201">
        <f t="shared" si="3"/>
        <v>3803844.9899999998</v>
      </c>
      <c r="X40" s="201">
        <f t="shared" si="4"/>
        <v>14467586.470000001</v>
      </c>
      <c r="Y40" s="201">
        <f t="shared" si="5"/>
        <v>-19.436931363483019</v>
      </c>
      <c r="Z40" s="201">
        <f t="shared" si="6"/>
        <v>-90.408551705562886</v>
      </c>
      <c r="AA40" s="201">
        <f t="shared" si="6"/>
        <v>-72.648597407034828</v>
      </c>
    </row>
    <row r="41" spans="1:27" s="253" customFormat="1" x14ac:dyDescent="0.25">
      <c r="A41" s="154" t="s">
        <v>536</v>
      </c>
      <c r="B41" s="250">
        <v>2100400001</v>
      </c>
      <c r="C41" s="89">
        <v>4560536.74</v>
      </c>
      <c r="D41" s="176">
        <f>295819.722380952-192380.95</f>
        <v>103438.77238095197</v>
      </c>
      <c r="E41" s="176"/>
      <c r="F41" s="176"/>
      <c r="G41" s="251">
        <f t="shared" si="0"/>
        <v>4663975.512380952</v>
      </c>
      <c r="H41" s="176">
        <v>135630</v>
      </c>
      <c r="I41" s="176">
        <v>442271</v>
      </c>
      <c r="J41" s="176">
        <f>218630.1-155939.13</f>
        <v>62690.97</v>
      </c>
      <c r="K41" s="176"/>
      <c r="L41" s="252">
        <f t="shared" ref="L41:L47" si="10">SUM(H41:K41)</f>
        <v>640591.97</v>
      </c>
      <c r="M41" s="201">
        <f t="shared" si="9"/>
        <v>5304567.4823809518</v>
      </c>
      <c r="N41" s="201">
        <v>5117600</v>
      </c>
      <c r="O41" s="201">
        <v>98300.37</v>
      </c>
      <c r="P41" s="254">
        <v>2236.9899999999998</v>
      </c>
      <c r="Q41" s="201">
        <v>0</v>
      </c>
      <c r="R41" s="201">
        <f t="shared" si="2"/>
        <v>5218137.3600000003</v>
      </c>
      <c r="S41" s="201">
        <v>0</v>
      </c>
      <c r="T41" s="201">
        <v>325425</v>
      </c>
      <c r="U41" s="176">
        <v>189783.12</v>
      </c>
      <c r="V41" s="176">
        <v>0</v>
      </c>
      <c r="W41" s="201">
        <f t="shared" si="3"/>
        <v>515208.12</v>
      </c>
      <c r="X41" s="201">
        <f t="shared" si="4"/>
        <v>5733345.4800000004</v>
      </c>
      <c r="Y41" s="201">
        <f t="shared" si="5"/>
        <v>11.881748653010177</v>
      </c>
      <c r="Z41" s="201">
        <f t="shared" si="6"/>
        <v>-19.573122341823922</v>
      </c>
      <c r="AA41" s="201">
        <f t="shared" si="6"/>
        <v>8.0831848976043563</v>
      </c>
    </row>
    <row r="42" spans="1:27" s="253" customFormat="1" x14ac:dyDescent="0.25">
      <c r="A42" s="154" t="s">
        <v>537</v>
      </c>
      <c r="B42" s="250">
        <v>2100400002</v>
      </c>
      <c r="C42" s="176">
        <v>24221866.5</v>
      </c>
      <c r="D42" s="176">
        <f>4228318.50396825-589968.25</f>
        <v>3638350.25396825</v>
      </c>
      <c r="E42" s="176">
        <v>4674.72</v>
      </c>
      <c r="F42" s="176">
        <v>21871</v>
      </c>
      <c r="G42" s="251">
        <f t="shared" si="0"/>
        <v>27886762.473968249</v>
      </c>
      <c r="H42" s="176">
        <v>10780598.4</v>
      </c>
      <c r="I42" s="176">
        <v>1328346.1000000001</v>
      </c>
      <c r="J42" s="176">
        <f>35279602.08-1013604.34</f>
        <v>34265997.739999995</v>
      </c>
      <c r="K42" s="176"/>
      <c r="L42" s="252">
        <f t="shared" si="10"/>
        <v>46374942.239999995</v>
      </c>
      <c r="M42" s="201">
        <f t="shared" si="9"/>
        <v>74261704.713968247</v>
      </c>
      <c r="N42" s="201">
        <v>25681812.02</v>
      </c>
      <c r="O42" s="201">
        <v>6914222.7000000002</v>
      </c>
      <c r="P42" s="254">
        <v>0</v>
      </c>
      <c r="Q42" s="201">
        <v>37000</v>
      </c>
      <c r="R42" s="201">
        <f t="shared" si="2"/>
        <v>32633034.719999999</v>
      </c>
      <c r="S42" s="201">
        <v>6374851.7999999998</v>
      </c>
      <c r="T42" s="201">
        <v>1328935.22</v>
      </c>
      <c r="U42" s="176">
        <v>48466433.340000004</v>
      </c>
      <c r="V42" s="176">
        <v>0</v>
      </c>
      <c r="W42" s="201">
        <f t="shared" si="3"/>
        <v>56170220.359999999</v>
      </c>
      <c r="X42" s="201">
        <f t="shared" si="4"/>
        <v>88803255.079999998</v>
      </c>
      <c r="Y42" s="201">
        <f t="shared" si="5"/>
        <v>17.019803752631031</v>
      </c>
      <c r="Z42" s="201">
        <f t="shared" si="6"/>
        <v>21.121919827538324</v>
      </c>
      <c r="AA42" s="201">
        <f t="shared" si="6"/>
        <v>19.581492805802181</v>
      </c>
    </row>
    <row r="43" spans="1:27" s="253" customFormat="1" ht="52.5" customHeight="1" x14ac:dyDescent="0.25">
      <c r="A43" s="154" t="s">
        <v>538</v>
      </c>
      <c r="B43" s="250">
        <v>2100400003</v>
      </c>
      <c r="C43" s="89">
        <v>29706897.5</v>
      </c>
      <c r="D43" s="176">
        <f>1946080.18174603-1487746.03</f>
        <v>458334.15174602997</v>
      </c>
      <c r="E43" s="176"/>
      <c r="F43" s="176">
        <v>2798125.58</v>
      </c>
      <c r="G43" s="251">
        <f t="shared" si="0"/>
        <v>32963357.231746033</v>
      </c>
      <c r="H43" s="176">
        <v>23328747.229999997</v>
      </c>
      <c r="I43" s="176">
        <v>141218</v>
      </c>
      <c r="J43" s="176">
        <f>3846809.1-846526.7</f>
        <v>3000282.4000000004</v>
      </c>
      <c r="K43" s="176"/>
      <c r="L43" s="252">
        <f t="shared" si="10"/>
        <v>26470247.629999995</v>
      </c>
      <c r="M43" s="201">
        <f t="shared" si="9"/>
        <v>59433604.861746028</v>
      </c>
      <c r="N43" s="201">
        <v>30911918.059999999</v>
      </c>
      <c r="O43" s="201">
        <v>536996.06000000006</v>
      </c>
      <c r="P43" s="254">
        <v>0</v>
      </c>
      <c r="Q43" s="201">
        <v>0</v>
      </c>
      <c r="R43" s="201">
        <f t="shared" si="2"/>
        <v>31448914.119999997</v>
      </c>
      <c r="S43" s="201">
        <v>33759719.530000001</v>
      </c>
      <c r="T43" s="201">
        <v>127774</v>
      </c>
      <c r="U43" s="176">
        <v>4340687.8600000003</v>
      </c>
      <c r="V43" s="176">
        <v>0</v>
      </c>
      <c r="W43" s="201">
        <f t="shared" si="3"/>
        <v>38228181.390000001</v>
      </c>
      <c r="X43" s="201">
        <f t="shared" si="4"/>
        <v>69677095.50999999</v>
      </c>
      <c r="Y43" s="201">
        <f t="shared" si="5"/>
        <v>-4.5943230269261539</v>
      </c>
      <c r="Z43" s="201">
        <f t="shared" si="6"/>
        <v>44.419432429767589</v>
      </c>
      <c r="AA43" s="201">
        <f t="shared" si="6"/>
        <v>17.235183146104443</v>
      </c>
    </row>
    <row r="44" spans="1:27" s="253" customFormat="1" x14ac:dyDescent="0.25">
      <c r="A44" s="154" t="s">
        <v>539</v>
      </c>
      <c r="B44" s="250">
        <v>2100400004</v>
      </c>
      <c r="C44" s="89">
        <v>19803682.32</v>
      </c>
      <c r="D44" s="176">
        <f>1265176.79-808000</f>
        <v>457176.79000000004</v>
      </c>
      <c r="E44" s="89"/>
      <c r="F44" s="176"/>
      <c r="G44" s="251">
        <f t="shared" si="0"/>
        <v>20260859.109999999</v>
      </c>
      <c r="H44" s="176">
        <v>1272453</v>
      </c>
      <c r="I44" s="176">
        <v>42529</v>
      </c>
      <c r="J44" s="176">
        <f>2936392.92-701726.08</f>
        <v>2234666.84</v>
      </c>
      <c r="K44" s="176">
        <v>602273</v>
      </c>
      <c r="L44" s="252">
        <f t="shared" si="10"/>
        <v>4151921.84</v>
      </c>
      <c r="M44" s="201">
        <f t="shared" si="9"/>
        <v>24412780.949999999</v>
      </c>
      <c r="N44" s="201">
        <v>20103934.030000001</v>
      </c>
      <c r="O44" s="201">
        <v>576522.07999999996</v>
      </c>
      <c r="P44" s="92">
        <v>16</v>
      </c>
      <c r="Q44" s="201">
        <v>0</v>
      </c>
      <c r="R44" s="201">
        <f t="shared" si="2"/>
        <v>20680472.109999999</v>
      </c>
      <c r="S44" s="201">
        <v>834493.32</v>
      </c>
      <c r="T44" s="201">
        <v>93230</v>
      </c>
      <c r="U44" s="176">
        <v>2398920.81</v>
      </c>
      <c r="V44" s="176">
        <v>93208000</v>
      </c>
      <c r="W44" s="201">
        <f t="shared" si="3"/>
        <v>96534644.129999995</v>
      </c>
      <c r="X44" s="201">
        <f t="shared" si="4"/>
        <v>117215116.23999999</v>
      </c>
      <c r="Y44" s="201">
        <f t="shared" si="5"/>
        <v>2.0710523562788845</v>
      </c>
      <c r="Z44" s="201">
        <f t="shared" si="6"/>
        <v>2225.0592821853315</v>
      </c>
      <c r="AA44" s="201">
        <f t="shared" si="6"/>
        <v>380.13831967799632</v>
      </c>
    </row>
    <row r="45" spans="1:27" s="253" customFormat="1" x14ac:dyDescent="0.25">
      <c r="A45" s="154" t="s">
        <v>540</v>
      </c>
      <c r="B45" s="250">
        <v>2100400006</v>
      </c>
      <c r="C45" s="89">
        <v>20928780.510000002</v>
      </c>
      <c r="D45" s="176">
        <f>10181736.03-808000</f>
        <v>9373736.0299999993</v>
      </c>
      <c r="E45" s="176"/>
      <c r="F45" s="176"/>
      <c r="G45" s="251">
        <f t="shared" si="0"/>
        <v>30302516.539999999</v>
      </c>
      <c r="H45" s="176">
        <v>10598437.5</v>
      </c>
      <c r="I45" s="176">
        <v>977295.5</v>
      </c>
      <c r="J45" s="176">
        <f>3638529.19-1124989.43</f>
        <v>2513539.7599999998</v>
      </c>
      <c r="K45" s="176"/>
      <c r="L45" s="252">
        <f t="shared" si="10"/>
        <v>14089272.76</v>
      </c>
      <c r="M45" s="201">
        <f t="shared" si="9"/>
        <v>44391789.299999997</v>
      </c>
      <c r="N45" s="201">
        <v>22759301.989999998</v>
      </c>
      <c r="O45" s="201">
        <v>6071663.3600000003</v>
      </c>
      <c r="P45" s="254">
        <v>0</v>
      </c>
      <c r="Q45" s="201">
        <v>0</v>
      </c>
      <c r="R45" s="201">
        <f t="shared" si="2"/>
        <v>28830965.349999998</v>
      </c>
      <c r="S45" s="201">
        <v>12989217.130000001</v>
      </c>
      <c r="T45" s="201">
        <v>1278965</v>
      </c>
      <c r="U45" s="176">
        <v>4667389.34</v>
      </c>
      <c r="V45" s="176">
        <v>0</v>
      </c>
      <c r="W45" s="201">
        <f t="shared" si="3"/>
        <v>18935571.469999999</v>
      </c>
      <c r="X45" s="201">
        <f t="shared" si="4"/>
        <v>47766536.819999993</v>
      </c>
      <c r="Y45" s="201">
        <f t="shared" si="5"/>
        <v>-4.8562012599102813</v>
      </c>
      <c r="Z45" s="201">
        <f t="shared" si="6"/>
        <v>34.397082039314562</v>
      </c>
      <c r="AA45" s="201">
        <f t="shared" si="6"/>
        <v>7.6021885425555391</v>
      </c>
    </row>
    <row r="46" spans="1:27" s="253" customFormat="1" x14ac:dyDescent="0.25">
      <c r="A46" s="154" t="s">
        <v>541</v>
      </c>
      <c r="B46" s="250">
        <v>2100400068</v>
      </c>
      <c r="C46" s="89">
        <v>5333636.6900000004</v>
      </c>
      <c r="D46" s="176">
        <v>9680431.7599999998</v>
      </c>
      <c r="E46" s="176"/>
      <c r="F46" s="176"/>
      <c r="G46" s="251">
        <f t="shared" si="0"/>
        <v>15014068.449999999</v>
      </c>
      <c r="H46" s="176">
        <v>3715919.8</v>
      </c>
      <c r="I46" s="176">
        <v>323673</v>
      </c>
      <c r="J46" s="176">
        <v>18246582.780000001</v>
      </c>
      <c r="K46" s="176"/>
      <c r="L46" s="252">
        <f t="shared" si="10"/>
        <v>22286175.580000002</v>
      </c>
      <c r="M46" s="201">
        <f t="shared" si="9"/>
        <v>37300244.030000001</v>
      </c>
      <c r="N46" s="201">
        <v>6458271.8099999996</v>
      </c>
      <c r="O46" s="201">
        <v>24881420.460000001</v>
      </c>
      <c r="P46" s="254">
        <v>0</v>
      </c>
      <c r="Q46" s="201">
        <v>0</v>
      </c>
      <c r="R46" s="201">
        <f t="shared" si="2"/>
        <v>31339692.27</v>
      </c>
      <c r="S46" s="201">
        <v>4468442.5</v>
      </c>
      <c r="T46" s="201">
        <v>649703</v>
      </c>
      <c r="U46" s="176">
        <v>44836909.5</v>
      </c>
      <c r="V46" s="176">
        <v>0</v>
      </c>
      <c r="W46" s="201">
        <f t="shared" si="3"/>
        <v>49955055</v>
      </c>
      <c r="X46" s="201">
        <f t="shared" si="4"/>
        <v>81294747.269999996</v>
      </c>
      <c r="Y46" s="201">
        <f t="shared" si="5"/>
        <v>108.73550946146113</v>
      </c>
      <c r="Z46" s="201">
        <f t="shared" si="6"/>
        <v>124.15265831805851</v>
      </c>
      <c r="AA46" s="201">
        <f t="shared" si="6"/>
        <v>117.94695821457873</v>
      </c>
    </row>
    <row r="47" spans="1:27" s="253" customFormat="1" ht="31.5" x14ac:dyDescent="0.25">
      <c r="A47" s="154" t="s">
        <v>542</v>
      </c>
      <c r="B47" s="250">
        <v>2100400069</v>
      </c>
      <c r="C47" s="89">
        <v>5729389.5899999999</v>
      </c>
      <c r="D47" s="176">
        <v>15674.68</v>
      </c>
      <c r="E47" s="176"/>
      <c r="F47" s="176"/>
      <c r="G47" s="251">
        <f t="shared" si="0"/>
        <v>5745064.2699999996</v>
      </c>
      <c r="H47" s="176">
        <v>1633682</v>
      </c>
      <c r="I47" s="176">
        <v>2818288.04</v>
      </c>
      <c r="J47" s="176">
        <f>2287786.63-378709.31</f>
        <v>1909077.3199999998</v>
      </c>
      <c r="K47" s="176"/>
      <c r="L47" s="252">
        <f t="shared" si="10"/>
        <v>6361047.3599999994</v>
      </c>
      <c r="M47" s="201">
        <f t="shared" si="9"/>
        <v>12106111.629999999</v>
      </c>
      <c r="N47" s="201">
        <v>6072463.1200000001</v>
      </c>
      <c r="O47" s="201">
        <v>31022</v>
      </c>
      <c r="P47" s="254">
        <v>0</v>
      </c>
      <c r="Q47" s="201">
        <v>0</v>
      </c>
      <c r="R47" s="201">
        <f t="shared" si="2"/>
        <v>6103485.1200000001</v>
      </c>
      <c r="S47" s="201">
        <v>2765257.39</v>
      </c>
      <c r="T47" s="201">
        <v>4501177.66</v>
      </c>
      <c r="U47" s="176">
        <v>2260995.12</v>
      </c>
      <c r="V47" s="176">
        <v>0</v>
      </c>
      <c r="W47" s="201">
        <f t="shared" si="3"/>
        <v>9527430.1700000018</v>
      </c>
      <c r="X47" s="201">
        <f t="shared" si="4"/>
        <v>15630915.290000003</v>
      </c>
      <c r="Y47" s="201">
        <f t="shared" si="5"/>
        <v>6.2387613637610455</v>
      </c>
      <c r="Z47" s="201">
        <f t="shared" si="6"/>
        <v>49.777695885603386</v>
      </c>
      <c r="AA47" s="201">
        <f t="shared" si="6"/>
        <v>29.115902510474406</v>
      </c>
    </row>
    <row r="48" spans="1:27" s="253" customFormat="1" x14ac:dyDescent="0.25">
      <c r="A48" s="154" t="s">
        <v>543</v>
      </c>
      <c r="B48" s="273">
        <v>2100400055</v>
      </c>
      <c r="C48" s="89">
        <v>5763586.6299999999</v>
      </c>
      <c r="D48" s="176">
        <f>355303.44-230857.15</f>
        <v>124446.29000000001</v>
      </c>
      <c r="E48" s="176"/>
      <c r="F48" s="176"/>
      <c r="G48" s="251">
        <f>SUM(C48:F48)</f>
        <v>5888032.9199999999</v>
      </c>
      <c r="H48" s="176">
        <v>2399720</v>
      </c>
      <c r="I48" s="176">
        <v>264195</v>
      </c>
      <c r="J48" s="176">
        <f>631950.64-200493.17</f>
        <v>431457.47</v>
      </c>
      <c r="K48" s="176"/>
      <c r="L48" s="252">
        <f>SUM(H48:K48)</f>
        <v>3095372.4699999997</v>
      </c>
      <c r="M48" s="201">
        <f>G48+L48</f>
        <v>8983405.3900000006</v>
      </c>
      <c r="N48" s="201">
        <v>6061609.3399999999</v>
      </c>
      <c r="O48" s="201">
        <v>91918.720000000001</v>
      </c>
      <c r="P48" s="254">
        <v>0</v>
      </c>
      <c r="Q48" s="201">
        <v>0</v>
      </c>
      <c r="R48" s="201">
        <f t="shared" si="2"/>
        <v>6153528.0599999996</v>
      </c>
      <c r="S48" s="201">
        <v>1109717</v>
      </c>
      <c r="T48" s="201">
        <v>146805</v>
      </c>
      <c r="U48" s="176">
        <v>1023150</v>
      </c>
      <c r="V48" s="176">
        <v>0</v>
      </c>
      <c r="W48" s="201">
        <f t="shared" si="3"/>
        <v>2279672</v>
      </c>
      <c r="X48" s="201">
        <f t="shared" si="4"/>
        <v>8433200.0599999987</v>
      </c>
      <c r="Y48" s="201">
        <f t="shared" si="5"/>
        <v>4.509063444570546</v>
      </c>
      <c r="Z48" s="201">
        <f t="shared" si="6"/>
        <v>-26.35225575938523</v>
      </c>
      <c r="AA48" s="201">
        <f t="shared" si="6"/>
        <v>-6.1246855297487794</v>
      </c>
    </row>
    <row r="49" spans="1:27" s="253" customFormat="1" ht="31.5" x14ac:dyDescent="0.25">
      <c r="A49" s="154" t="s">
        <v>544</v>
      </c>
      <c r="B49" s="261">
        <v>2100400070</v>
      </c>
      <c r="C49" s="271">
        <v>1296407.75</v>
      </c>
      <c r="D49" s="256">
        <v>695.81</v>
      </c>
      <c r="E49" s="256"/>
      <c r="F49" s="256"/>
      <c r="G49" s="251">
        <f>SUM(C49:F49)</f>
        <v>1297103.56</v>
      </c>
      <c r="H49" s="256">
        <v>2479991.33</v>
      </c>
      <c r="I49" s="256">
        <v>22458</v>
      </c>
      <c r="J49" s="256">
        <v>2011281.62</v>
      </c>
      <c r="K49" s="256"/>
      <c r="L49" s="252">
        <f>SUM(H49:K49)</f>
        <v>4513730.95</v>
      </c>
      <c r="M49" s="201">
        <f>G49+L49</f>
        <v>5810834.5099999998</v>
      </c>
      <c r="N49" s="201">
        <v>963911.7</v>
      </c>
      <c r="O49" s="201">
        <v>240409.96</v>
      </c>
      <c r="P49" s="274">
        <v>0</v>
      </c>
      <c r="Q49" s="201">
        <v>8600</v>
      </c>
      <c r="R49" s="201">
        <f t="shared" si="2"/>
        <v>1212921.6599999999</v>
      </c>
      <c r="S49" s="201">
        <v>3030358.37</v>
      </c>
      <c r="T49" s="201">
        <v>272400.37</v>
      </c>
      <c r="U49" s="256">
        <v>3652346.68</v>
      </c>
      <c r="V49" s="256">
        <v>0</v>
      </c>
      <c r="W49" s="201">
        <f t="shared" si="3"/>
        <v>6955105.4199999999</v>
      </c>
      <c r="X49" s="201">
        <f t="shared" si="4"/>
        <v>8168027.0800000001</v>
      </c>
      <c r="Y49" s="201">
        <f t="shared" si="5"/>
        <v>-6.489990668131397</v>
      </c>
      <c r="Z49" s="201">
        <f t="shared" si="6"/>
        <v>54.087726916908942</v>
      </c>
      <c r="AA49" s="201">
        <f t="shared" si="6"/>
        <v>40.565474131873017</v>
      </c>
    </row>
    <row r="50" spans="1:27" s="253" customFormat="1" x14ac:dyDescent="0.25">
      <c r="A50" s="154" t="s">
        <v>545</v>
      </c>
      <c r="B50" s="261">
        <v>2100400071</v>
      </c>
      <c r="C50" s="271">
        <f>5489814.84-0.01</f>
        <v>5489814.8300000001</v>
      </c>
      <c r="D50" s="256">
        <v>36224.379999999997</v>
      </c>
      <c r="E50" s="256"/>
      <c r="F50" s="256">
        <v>761255.55</v>
      </c>
      <c r="G50" s="251">
        <f>SUM(C50:F50)</f>
        <v>6287294.7599999998</v>
      </c>
      <c r="H50" s="256">
        <v>7661763.5899999999</v>
      </c>
      <c r="I50" s="256">
        <v>79869.38</v>
      </c>
      <c r="J50" s="256">
        <v>2278124.8199999998</v>
      </c>
      <c r="K50" s="256"/>
      <c r="L50" s="252">
        <f>SUM(H50:K50)</f>
        <v>10019757.789999999</v>
      </c>
      <c r="M50" s="201">
        <f>G50+L50</f>
        <v>16307052.549999999</v>
      </c>
      <c r="N50" s="201">
        <v>7013511.2400000002</v>
      </c>
      <c r="O50" s="201">
        <v>54106.02</v>
      </c>
      <c r="P50" s="274">
        <v>0</v>
      </c>
      <c r="Q50" s="201">
        <v>0</v>
      </c>
      <c r="R50" s="201">
        <f t="shared" si="2"/>
        <v>7067617.2599999998</v>
      </c>
      <c r="S50" s="201">
        <v>8431069.2899999991</v>
      </c>
      <c r="T50" s="201">
        <v>299333</v>
      </c>
      <c r="U50" s="256">
        <v>6309386.79</v>
      </c>
      <c r="V50" s="256">
        <v>0</v>
      </c>
      <c r="W50" s="201">
        <f t="shared" si="3"/>
        <v>15039789.079999998</v>
      </c>
      <c r="X50" s="201">
        <f t="shared" si="4"/>
        <v>22107406.339999996</v>
      </c>
      <c r="Y50" s="201">
        <f t="shared" si="5"/>
        <v>12.411100954967793</v>
      </c>
      <c r="Z50" s="201">
        <f t="shared" si="6"/>
        <v>50.101323756649407</v>
      </c>
      <c r="AA50" s="201">
        <f t="shared" si="6"/>
        <v>35.569602613441006</v>
      </c>
    </row>
    <row r="51" spans="1:27" s="253" customFormat="1" ht="16.5" thickBot="1" x14ac:dyDescent="0.3">
      <c r="A51" s="154" t="s">
        <v>546</v>
      </c>
      <c r="B51" s="261">
        <v>2100400072</v>
      </c>
      <c r="C51" s="89">
        <v>766938</v>
      </c>
      <c r="D51" s="176">
        <v>479.44</v>
      </c>
      <c r="E51" s="176"/>
      <c r="F51" s="176"/>
      <c r="G51" s="251">
        <f>SUM(C51:F51)</f>
        <v>767417.44</v>
      </c>
      <c r="H51" s="176">
        <v>3493656.4</v>
      </c>
      <c r="I51" s="176">
        <v>11650</v>
      </c>
      <c r="J51" s="176">
        <f>599513.68-55692.54</f>
        <v>543821.14</v>
      </c>
      <c r="K51" s="176"/>
      <c r="L51" s="252">
        <f>SUM(H51:K51)</f>
        <v>4049127.54</v>
      </c>
      <c r="M51" s="201">
        <f>G51+L51</f>
        <v>4816544.9800000004</v>
      </c>
      <c r="N51" s="201">
        <v>800570</v>
      </c>
      <c r="O51" s="201">
        <v>21222.31</v>
      </c>
      <c r="P51" s="274">
        <v>0</v>
      </c>
      <c r="Q51" s="201">
        <v>0</v>
      </c>
      <c r="R51" s="201">
        <f t="shared" si="2"/>
        <v>821792.31</v>
      </c>
      <c r="S51" s="201">
        <v>2464866.7200000002</v>
      </c>
      <c r="T51" s="201">
        <v>82712</v>
      </c>
      <c r="U51" s="262">
        <f>584340.58+0.01</f>
        <v>584340.59</v>
      </c>
      <c r="V51" s="256">
        <v>0</v>
      </c>
      <c r="W51" s="201">
        <f t="shared" si="3"/>
        <v>3131919.31</v>
      </c>
      <c r="X51" s="201">
        <f t="shared" si="4"/>
        <v>3953711.62</v>
      </c>
      <c r="Y51" s="201">
        <f t="shared" si="5"/>
        <v>7.0854357961945862</v>
      </c>
      <c r="Z51" s="201">
        <f t="shared" si="6"/>
        <v>-22.651996533554485</v>
      </c>
      <c r="AA51" s="201">
        <f t="shared" si="6"/>
        <v>-17.913947935351789</v>
      </c>
    </row>
    <row r="52" spans="1:27" s="253" customFormat="1" ht="17.25" thickTop="1" thickBot="1" x14ac:dyDescent="0.3">
      <c r="A52" s="263" t="s">
        <v>412</v>
      </c>
      <c r="B52" s="264"/>
      <c r="C52" s="265">
        <f t="shared" ref="C52:V52" si="11">SUM(C8:C51)</f>
        <v>2275258046.6700006</v>
      </c>
      <c r="D52" s="265">
        <f t="shared" si="11"/>
        <v>302839196.5377779</v>
      </c>
      <c r="E52" s="265">
        <f t="shared" si="11"/>
        <v>61898.720000000008</v>
      </c>
      <c r="F52" s="265">
        <f t="shared" si="11"/>
        <v>68699464.339999989</v>
      </c>
      <c r="G52" s="265">
        <f t="shared" si="11"/>
        <v>2646858606.2677779</v>
      </c>
      <c r="H52" s="265">
        <f t="shared" si="11"/>
        <v>343638770.2899999</v>
      </c>
      <c r="I52" s="265">
        <f t="shared" si="11"/>
        <v>94293520.080000013</v>
      </c>
      <c r="J52" s="265">
        <f t="shared" si="11"/>
        <v>1499291848.3700001</v>
      </c>
      <c r="K52" s="265">
        <f t="shared" si="11"/>
        <v>719339271.69000006</v>
      </c>
      <c r="L52" s="265">
        <f t="shared" si="11"/>
        <v>2656563410.4299998</v>
      </c>
      <c r="M52" s="265">
        <f t="shared" si="11"/>
        <v>5303422016.6977758</v>
      </c>
      <c r="N52" s="265">
        <f t="shared" si="11"/>
        <v>2302094569.1499996</v>
      </c>
      <c r="O52" s="265">
        <f t="shared" si="11"/>
        <v>295011946.21999997</v>
      </c>
      <c r="P52" s="265">
        <f t="shared" si="11"/>
        <v>134303.44999999998</v>
      </c>
      <c r="Q52" s="265">
        <f t="shared" si="11"/>
        <v>1856972.83</v>
      </c>
      <c r="R52" s="265">
        <f t="shared" si="11"/>
        <v>2599097791.6499996</v>
      </c>
      <c r="S52" s="265">
        <f t="shared" si="11"/>
        <v>303224732.13999999</v>
      </c>
      <c r="T52" s="265">
        <f t="shared" si="11"/>
        <v>96992972.200000003</v>
      </c>
      <c r="U52" s="265">
        <f t="shared" si="11"/>
        <v>1498146235.0199997</v>
      </c>
      <c r="V52" s="265">
        <f t="shared" si="11"/>
        <v>647714727.30999994</v>
      </c>
      <c r="W52" s="265">
        <f>SUM(W8:W51)</f>
        <v>2546078666.6699991</v>
      </c>
      <c r="X52" s="265">
        <f>SUM(X8:X51)</f>
        <v>5145176458.3200016</v>
      </c>
      <c r="Y52" s="266"/>
      <c r="Z52" s="266"/>
      <c r="AA52" s="266"/>
    </row>
    <row r="53" spans="1:27" ht="16.5" thickTop="1" x14ac:dyDescent="0.25"/>
    <row r="58" spans="1:27" x14ac:dyDescent="0.25">
      <c r="M58" s="267"/>
      <c r="N58" s="267"/>
      <c r="O58" s="267"/>
      <c r="P58" s="267"/>
      <c r="Q58" s="267"/>
      <c r="R58" s="267"/>
      <c r="S58" s="267"/>
      <c r="T58" s="267"/>
      <c r="U58" s="267"/>
      <c r="V58" s="267"/>
      <c r="W58" s="267"/>
      <c r="X58" s="267"/>
    </row>
  </sheetData>
  <mergeCells count="14">
    <mergeCell ref="N5:R5"/>
    <mergeCell ref="S5:W5"/>
    <mergeCell ref="X5:X6"/>
    <mergeCell ref="A39:B39"/>
    <mergeCell ref="A1:AA1"/>
    <mergeCell ref="A4:A6"/>
    <mergeCell ref="C4:M4"/>
    <mergeCell ref="N4:X4"/>
    <mergeCell ref="Y4:Y6"/>
    <mergeCell ref="Z4:Z6"/>
    <mergeCell ref="AA4:AA6"/>
    <mergeCell ref="C5:G5"/>
    <mergeCell ref="H5:L5"/>
    <mergeCell ref="M5:M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12</vt:i4>
      </vt:variant>
    </vt:vector>
  </HeadingPairs>
  <TitlesOfParts>
    <vt:vector size="12" baseType="lpstr">
      <vt:lpstr>ตารางที่ 7</vt:lpstr>
      <vt:lpstr>วิเคราะห์ตาราง7</vt:lpstr>
      <vt:lpstr>ตารางที่8</vt:lpstr>
      <vt:lpstr>วิเคราะห์ตาราง8</vt:lpstr>
      <vt:lpstr>ตารางที่9</vt:lpstr>
      <vt:lpstr>วิเคราะห์ตาราง9</vt:lpstr>
      <vt:lpstr>ตาราง10</vt:lpstr>
      <vt:lpstr>วิเคราะห์ตาราง10</vt:lpstr>
      <vt:lpstr>ตาราง11</vt:lpstr>
      <vt:lpstr>วิเคราะห์ตาราง11</vt:lpstr>
      <vt:lpstr>ตาราง12</vt:lpstr>
      <vt:lpstr>รายงานสรุปผลปี62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computer</cp:lastModifiedBy>
  <dcterms:created xsi:type="dcterms:W3CDTF">2020-03-04T16:03:29Z</dcterms:created>
  <dcterms:modified xsi:type="dcterms:W3CDTF">2020-03-04T16:57:56Z</dcterms:modified>
</cp:coreProperties>
</file>